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novapayllc-my.sharepoint.com/personal/shevchenko_yu_novapay_ua/Documents/Файли чату Microsoft Teams/"/>
    </mc:Choice>
  </mc:AlternateContent>
  <xr:revisionPtr revIDLastSave="12" documentId="8_{FD41B1BE-3CE6-42B0-8B49-FC9348F2E550}" xr6:coauthVersionLast="47" xr6:coauthVersionMax="47" xr10:uidLastSave="{A9B3A2AD-C34C-4389-9F8C-29282BCAC876}"/>
  <bookViews>
    <workbookView xWindow="-108" yWindow="-108" windowWidth="23256" windowHeight="13896" xr2:uid="{00000000-000D-0000-FFFF-FFFF00000000}"/>
  </bookViews>
  <sheets>
    <sheet name="Лист1" sheetId="1" r:id="rId1"/>
    <sheet name="платеж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" i="2" l="1"/>
  <c r="D22" i="1"/>
  <c r="D16" i="1"/>
  <c r="D9" i="1"/>
  <c r="E32" i="2" l="1"/>
  <c r="E35" i="2"/>
  <c r="E38" i="2"/>
  <c r="E33" i="2"/>
  <c r="E34" i="2"/>
  <c r="E36" i="2"/>
  <c r="E37" i="2"/>
  <c r="E23" i="2"/>
  <c r="E30" i="2"/>
  <c r="E31" i="2"/>
  <c r="E16" i="2"/>
  <c r="E17" i="2"/>
  <c r="E20" i="2"/>
  <c r="E18" i="2"/>
  <c r="E21" i="2"/>
  <c r="E19" i="2"/>
  <c r="E22" i="2"/>
  <c r="E25" i="2"/>
  <c r="E26" i="2"/>
  <c r="E27" i="2"/>
  <c r="E15" i="2"/>
  <c r="E29" i="2"/>
  <c r="E24" i="2"/>
  <c r="E28" i="2"/>
  <c r="E8" i="2"/>
  <c r="E11" i="2"/>
  <c r="E14" i="2"/>
  <c r="B35" i="2"/>
  <c r="B29" i="2"/>
  <c r="B15" i="2"/>
  <c r="B7" i="2"/>
  <c r="B3" i="2"/>
  <c r="B37" i="2"/>
  <c r="B33" i="2"/>
  <c r="B31" i="2"/>
  <c r="B27" i="2"/>
  <c r="B25" i="2"/>
  <c r="B23" i="2"/>
  <c r="B21" i="2"/>
  <c r="B19" i="2"/>
  <c r="B17" i="2"/>
  <c r="B13" i="2"/>
  <c r="B11" i="2"/>
  <c r="B9" i="2"/>
  <c r="B5" i="2"/>
  <c r="B36" i="2"/>
  <c r="B34" i="2"/>
  <c r="B32" i="2"/>
  <c r="B30" i="2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B38" i="2"/>
  <c r="C2" i="2"/>
  <c r="E4" i="2"/>
  <c r="E6" i="2"/>
  <c r="E10" i="2"/>
  <c r="E12" i="2"/>
  <c r="E5" i="2"/>
  <c r="E9" i="2"/>
  <c r="E13" i="2"/>
  <c r="G2" i="2"/>
  <c r="E3" i="2"/>
  <c r="E7" i="2"/>
  <c r="F3" i="2" l="1"/>
  <c r="D14" i="1"/>
  <c r="E39" i="2"/>
  <c r="D3" i="2" l="1"/>
  <c r="G3" i="2" s="1"/>
  <c r="F4" i="2" l="1"/>
  <c r="D4" i="2" s="1"/>
  <c r="C4" i="2" s="1"/>
  <c r="C3" i="2"/>
  <c r="D12" i="1" s="1"/>
  <c r="D13" i="1"/>
  <c r="G4" i="2" l="1"/>
  <c r="F5" i="2" l="1"/>
  <c r="D5" i="2" s="1"/>
  <c r="C5" i="2" s="1"/>
  <c r="G5" i="2" l="1"/>
  <c r="F6" i="2" l="1"/>
  <c r="D6" i="2" s="1"/>
  <c r="G6" i="2" s="1"/>
  <c r="F7" i="2" l="1"/>
  <c r="D7" i="2" s="1"/>
  <c r="C6" i="2"/>
  <c r="C7" i="2" l="1"/>
  <c r="G7" i="2"/>
  <c r="F8" i="2" l="1"/>
  <c r="D8" i="2" l="1"/>
  <c r="C8" i="2" s="1"/>
  <c r="G8" i="2" l="1"/>
  <c r="F9" i="2" s="1"/>
  <c r="D9" i="2" l="1"/>
  <c r="C9" i="2" s="1"/>
  <c r="G9" i="2" l="1"/>
  <c r="F10" i="2" s="1"/>
  <c r="D10" i="2" s="1"/>
  <c r="C10" i="2" s="1"/>
  <c r="G10" i="2" l="1"/>
  <c r="F11" i="2" l="1"/>
  <c r="D11" i="2" l="1"/>
  <c r="C11" i="2" s="1"/>
  <c r="G11" i="2" l="1"/>
  <c r="F12" i="2" s="1"/>
  <c r="D12" i="2" l="1"/>
  <c r="C12" i="2" s="1"/>
  <c r="G12" i="2" l="1"/>
  <c r="F13" i="2" l="1"/>
  <c r="D13" i="2" s="1"/>
  <c r="C13" i="2" s="1"/>
  <c r="G13" i="2" l="1"/>
  <c r="F14" i="2" l="1"/>
  <c r="D14" i="2" s="1"/>
  <c r="G14" i="2" s="1"/>
  <c r="F15" i="2" s="1"/>
  <c r="C14" i="2" l="1"/>
  <c r="D15" i="2"/>
  <c r="G15" i="2" s="1"/>
  <c r="F16" i="2" s="1"/>
  <c r="D16" i="2" l="1"/>
  <c r="G16" i="2" s="1"/>
  <c r="C15" i="2"/>
  <c r="F17" i="2" l="1"/>
  <c r="D17" i="2" s="1"/>
  <c r="C16" i="2"/>
  <c r="C17" i="2" l="1"/>
  <c r="G17" i="2"/>
  <c r="F18" i="2" l="1"/>
  <c r="D18" i="2" s="1"/>
  <c r="C18" i="2" l="1"/>
  <c r="G18" i="2"/>
  <c r="F19" i="2" l="1"/>
  <c r="D19" i="2" s="1"/>
  <c r="C19" i="2" l="1"/>
  <c r="G19" i="2"/>
  <c r="F20" i="2" l="1"/>
  <c r="D20" i="2" s="1"/>
  <c r="C20" i="2" l="1"/>
  <c r="G20" i="2"/>
  <c r="F21" i="2" l="1"/>
  <c r="D21" i="2" s="1"/>
  <c r="C21" i="2" l="1"/>
  <c r="G21" i="2"/>
  <c r="F22" i="2" l="1"/>
  <c r="D22" i="2" l="1"/>
  <c r="C22" i="2" s="1"/>
  <c r="G22" i="2" l="1"/>
  <c r="F23" i="2" l="1"/>
  <c r="D23" i="2" s="1"/>
  <c r="C23" i="2" s="1"/>
  <c r="G23" i="2" l="1"/>
  <c r="F24" i="2" l="1"/>
  <c r="D24" i="2" s="1"/>
  <c r="C24" i="2" s="1"/>
  <c r="G24" i="2" l="1"/>
  <c r="F25" i="2" l="1"/>
  <c r="D25" i="2" s="1"/>
  <c r="C25" i="2" s="1"/>
  <c r="G25" i="2" l="1"/>
  <c r="F26" i="2" l="1"/>
  <c r="D26" i="2" s="1"/>
  <c r="C26" i="2" s="1"/>
  <c r="G26" i="2" l="1"/>
  <c r="F27" i="2" l="1"/>
  <c r="D27" i="2" s="1"/>
  <c r="C27" i="2" s="1"/>
  <c r="G27" i="2" l="1"/>
  <c r="F28" i="2" l="1"/>
  <c r="D28" i="2" s="1"/>
  <c r="C28" i="2" s="1"/>
  <c r="G28" i="2" l="1"/>
  <c r="F29" i="2" l="1"/>
  <c r="D29" i="2" s="1"/>
  <c r="C29" i="2" s="1"/>
  <c r="G29" i="2" l="1"/>
  <c r="F30" i="2" l="1"/>
  <c r="D30" i="2" s="1"/>
  <c r="C30" i="2" s="1"/>
  <c r="G30" i="2" l="1"/>
  <c r="F31" i="2" l="1"/>
  <c r="D31" i="2" s="1"/>
  <c r="C31" i="2" s="1"/>
  <c r="G31" i="2" l="1"/>
  <c r="F32" i="2" l="1"/>
  <c r="D32" i="2" s="1"/>
  <c r="C32" i="2" s="1"/>
  <c r="G32" i="2" l="1"/>
  <c r="F33" i="2" l="1"/>
  <c r="D33" i="2" s="1"/>
  <c r="C33" i="2" s="1"/>
  <c r="G33" i="2" l="1"/>
  <c r="F34" i="2" l="1"/>
  <c r="D34" i="2" s="1"/>
  <c r="C34" i="2" s="1"/>
  <c r="G34" i="2" l="1"/>
  <c r="F35" i="2" l="1"/>
  <c r="D35" i="2" s="1"/>
  <c r="C35" i="2" s="1"/>
  <c r="G35" i="2" l="1"/>
  <c r="F36" i="2" l="1"/>
  <c r="D36" i="2" s="1"/>
  <c r="C36" i="2" s="1"/>
  <c r="G36" i="2" l="1"/>
  <c r="F37" i="2" l="1"/>
  <c r="D37" i="2" s="1"/>
  <c r="C37" i="2" s="1"/>
  <c r="G37" i="2" l="1"/>
  <c r="D38" i="2" s="1"/>
  <c r="G38" i="2" s="1"/>
  <c r="G39" i="2" s="1"/>
  <c r="F38" i="2" l="1"/>
  <c r="F39" i="2" s="1"/>
  <c r="D39" i="2"/>
  <c r="D19" i="1" l="1"/>
  <c r="C38" i="2"/>
  <c r="D20" i="1" s="1"/>
  <c r="D25" i="1" l="1"/>
  <c r="C40" i="2" s="1"/>
  <c r="C39" i="2"/>
</calcChain>
</file>

<file path=xl/sharedStrings.xml><?xml version="1.0" encoding="utf-8"?>
<sst xmlns="http://schemas.openxmlformats.org/spreadsheetml/2006/main" count="50" uniqueCount="48">
  <si>
    <t>*Заповніть поля виділені сірим кольором</t>
  </si>
  <si>
    <t>Мінімальна сума 500</t>
  </si>
  <si>
    <t>КРЕДИТНИЙ КАЛЬКУЛЯТОР "ПОСИЛКА В КРЕДИТ"</t>
  </si>
  <si>
    <t>Тариф</t>
  </si>
  <si>
    <t>Умови</t>
  </si>
  <si>
    <t>Вартість товару, грн.</t>
  </si>
  <si>
    <t>Тариф 1</t>
  </si>
  <si>
    <t>2,5% / міс</t>
  </si>
  <si>
    <t>Вартість доставки, грн.</t>
  </si>
  <si>
    <t>Тариф 2</t>
  </si>
  <si>
    <t>3,5% / міс</t>
  </si>
  <si>
    <t>Тариф 3</t>
  </si>
  <si>
    <t>6% / міс</t>
  </si>
  <si>
    <t>Тариф 4</t>
  </si>
  <si>
    <t>49% річних</t>
  </si>
  <si>
    <t>Сума кредиту, грн.</t>
  </si>
  <si>
    <t>Тариф 5</t>
  </si>
  <si>
    <t>69% річних</t>
  </si>
  <si>
    <t>Строк кредитування, міс.</t>
  </si>
  <si>
    <t>Тариф 6</t>
  </si>
  <si>
    <t>109% річних</t>
  </si>
  <si>
    <t>ЩОМІСЯЧНИЙ ПЛАТІЖ, грн.</t>
  </si>
  <si>
    <t>Загальна кількість платежів, шт.</t>
  </si>
  <si>
    <t>Періодичність сплати платежів</t>
  </si>
  <si>
    <t>Загальні витрати за споживчим кредитом, грн.</t>
  </si>
  <si>
    <t>Загальна вартість кредиту, грн.</t>
  </si>
  <si>
    <t>Тариф для розрахунку</t>
  </si>
  <si>
    <t>Процентна ставка, % річних</t>
  </si>
  <si>
    <t>Реальна річна процентна ставка, % річних</t>
  </si>
  <si>
    <t>Дата розрахунку кредиту</t>
  </si>
  <si>
    <t>№</t>
  </si>
  <si>
    <t>Дата</t>
  </si>
  <si>
    <t>Платіж</t>
  </si>
  <si>
    <t>Погашення кредиту</t>
  </si>
  <si>
    <t>Комісія</t>
  </si>
  <si>
    <t>Відсотки</t>
  </si>
  <si>
    <t>Залишок боргу</t>
  </si>
  <si>
    <t>строк</t>
  </si>
  <si>
    <t>Разом</t>
  </si>
  <si>
    <t>Реальна річна ставка</t>
  </si>
  <si>
    <t>щомісяця, відповідно до Графіка платежів</t>
  </si>
  <si>
    <t>Комісія за переказ коштів (післяплату), грн.</t>
  </si>
  <si>
    <t>Тіло кредиту, грн.</t>
  </si>
  <si>
    <t>Комісія за надання фінансового інструменту (кредиту), грн.</t>
  </si>
  <si>
    <t>Комісія за обслуговування фін.інструменту (кредиту), % в місяць</t>
  </si>
  <si>
    <t>Комісія за надання фінансового інструменту (кредиту), % разово</t>
  </si>
  <si>
    <t>Комісія за обслуговування фін.інструменту (кредиту), грн.</t>
  </si>
  <si>
    <t>Сума перевищує макс 300 000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</si>
</sst>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\ [$₴-422]"/>
    <numFmt numFmtId="165" formatCode="#,##0.00\ [$₴-422]"/>
    <numFmt numFmtId="166" formatCode="0.0%"/>
    <numFmt numFmtId="167" formatCode="0.00000%"/>
    <numFmt numFmtId="168" formatCode="0.000%"/>
    <numFmt numFmtId="169" formatCode="dd\.mm\.yyyy"/>
  </numFmts>
  <fonts count="14" x14ac:knownFonts="1">
    <font>
      <sz val="11"/>
      <color theme="1"/>
      <name val="Calibri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i/>
      <sz val="10"/>
      <name val="Calibri"/>
      <family val="2"/>
      <charset val="204"/>
    </font>
    <font>
      <sz val="11"/>
      <name val="Calibri"/>
      <family val="2"/>
      <charset val="204"/>
    </font>
    <font>
      <i/>
      <sz val="10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1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7" fillId="0" borderId="0" xfId="0" applyFont="1" applyAlignment="1">
      <alignment horizontal="center"/>
    </xf>
    <xf numFmtId="0" fontId="1" fillId="0" borderId="5" xfId="0" applyFont="1" applyBorder="1"/>
    <xf numFmtId="165" fontId="7" fillId="0" borderId="0" xfId="0" applyNumberFormat="1" applyFont="1"/>
    <xf numFmtId="165" fontId="1" fillId="0" borderId="0" xfId="0" applyNumberFormat="1" applyFont="1"/>
    <xf numFmtId="164" fontId="8" fillId="0" borderId="0" xfId="0" applyNumberFormat="1" applyFont="1" applyAlignment="1">
      <alignment horizontal="right" vertical="top" wrapText="1"/>
    </xf>
    <xf numFmtId="164" fontId="1" fillId="0" borderId="0" xfId="0" applyNumberFormat="1" applyFont="1"/>
    <xf numFmtId="167" fontId="8" fillId="0" borderId="0" xfId="1" applyNumberFormat="1" applyFont="1" applyFill="1" applyBorder="1"/>
    <xf numFmtId="10" fontId="8" fillId="0" borderId="0" xfId="1" applyNumberFormat="1" applyFont="1" applyFill="1" applyBorder="1"/>
    <xf numFmtId="14" fontId="7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9" fillId="0" borderId="0" xfId="0" applyFont="1"/>
    <xf numFmtId="2" fontId="5" fillId="0" borderId="0" xfId="0" applyNumberFormat="1" applyFont="1"/>
    <xf numFmtId="168" fontId="9" fillId="0" borderId="0" xfId="1" applyNumberFormat="1" applyFont="1" applyAlignment="1">
      <alignment horizontal="center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0" fillId="3" borderId="0" xfId="0" applyFont="1" applyFill="1"/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4" fontId="0" fillId="3" borderId="0" xfId="0" applyNumberFormat="1" applyFill="1" applyAlignment="1">
      <alignment horizontal="right"/>
    </xf>
    <xf numFmtId="0" fontId="0" fillId="0" borderId="0" xfId="0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0" fontId="4" fillId="0" borderId="0" xfId="0" applyNumberFormat="1" applyFont="1" applyAlignment="1">
      <alignment horizontal="right" vertic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2" fontId="0" fillId="0" borderId="0" xfId="0" applyNumberFormat="1"/>
    <xf numFmtId="0" fontId="0" fillId="4" borderId="0" xfId="0" applyFill="1" applyAlignment="1">
      <alignment wrapText="1"/>
    </xf>
    <xf numFmtId="164" fontId="1" fillId="3" borderId="0" xfId="0" applyNumberFormat="1" applyFont="1" applyFill="1" applyAlignment="1">
      <alignment horizontal="right"/>
    </xf>
    <xf numFmtId="4" fontId="13" fillId="0" borderId="0" xfId="0" applyNumberFormat="1" applyFont="1" applyAlignment="1">
      <alignment horizontal="left" vertical="top" wrapText="1"/>
    </xf>
    <xf numFmtId="0" fontId="2" fillId="4" borderId="0" xfId="0" applyFont="1" applyFill="1" applyAlignment="1">
      <alignment wrapText="1"/>
    </xf>
    <xf numFmtId="0" fontId="4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4" fontId="6" fillId="5" borderId="0" xfId="0" applyNumberFormat="1" applyFont="1" applyFill="1" applyAlignment="1">
      <alignment horizontal="right"/>
    </xf>
    <xf numFmtId="4" fontId="1" fillId="5" borderId="0" xfId="0" applyNumberFormat="1" applyFont="1" applyFill="1" applyAlignment="1">
      <alignment horizontal="right"/>
    </xf>
    <xf numFmtId="4" fontId="4" fillId="5" borderId="0" xfId="0" applyNumberFormat="1" applyFont="1" applyFill="1" applyAlignment="1">
      <alignment horizontal="right" vertical="center"/>
    </xf>
    <xf numFmtId="4" fontId="7" fillId="5" borderId="0" xfId="0" applyNumberFormat="1" applyFont="1" applyFill="1" applyAlignment="1">
      <alignment horizontal="right"/>
    </xf>
    <xf numFmtId="10" fontId="1" fillId="0" borderId="0" xfId="0" applyNumberFormat="1" applyFont="1" applyAlignment="1" applyProtection="1">
      <alignment horizontal="right"/>
      <protection hidden="1"/>
    </xf>
    <xf numFmtId="4" fontId="1" fillId="0" borderId="0" xfId="0" applyNumberFormat="1" applyFont="1" applyAlignment="1" applyProtection="1">
      <alignment horizontal="right"/>
      <protection hidden="1"/>
    </xf>
    <xf numFmtId="0" fontId="0" fillId="4" borderId="0" xfId="0" applyFill="1"/>
    <xf numFmtId="166" fontId="1" fillId="4" borderId="0" xfId="1" applyNumberFormat="1" applyFont="1" applyFill="1" applyBorder="1"/>
    <xf numFmtId="0" fontId="1" fillId="4" borderId="0" xfId="0" applyFont="1" applyFill="1"/>
    <xf numFmtId="166" fontId="1" fillId="0" borderId="0" xfId="0" applyNumberFormat="1" applyFont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</cellXfs>
  <cellStyles count="5">
    <cellStyle name="Відсотковий" xfId="1" xr:uid="{00000000-0005-0000-0000-000000000000}"/>
    <cellStyle name="Звичайний" xfId="0" builtinId="0"/>
    <cellStyle name="Обычный 2" xfId="3" xr:uid="{00000000-0005-0000-0000-000002000000}"/>
    <cellStyle name="Процентный 2" xfId="4" xr:uid="{00000000-0005-0000-0000-000003000000}"/>
    <cellStyle name="Финансовый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13–2022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"/>
  <sheetViews>
    <sheetView showGridLines="0" tabSelected="1" zoomScale="85" zoomScaleNormal="85" workbookViewId="0">
      <selection activeCell="O9" sqref="O9"/>
    </sheetView>
  </sheetViews>
  <sheetFormatPr defaultColWidth="9.109375" defaultRowHeight="14.4" x14ac:dyDescent="0.3"/>
  <cols>
    <col min="1" max="1" width="2.88671875" style="3" customWidth="1"/>
    <col min="2" max="2" width="5" style="3" customWidth="1"/>
    <col min="3" max="3" width="56.44140625" style="3" customWidth="1"/>
    <col min="4" max="4" width="20" style="3" customWidth="1"/>
    <col min="5" max="5" width="4.44140625" style="3" customWidth="1"/>
    <col min="6" max="6" width="16" style="3" hidden="1" customWidth="1"/>
    <col min="7" max="7" width="17.33203125" style="3" hidden="1" customWidth="1"/>
    <col min="8" max="16384" width="9.109375" style="3"/>
  </cols>
  <sheetData>
    <row r="1" spans="2:7" ht="20.55" customHeight="1" x14ac:dyDescent="0.3"/>
    <row r="2" spans="2:7" x14ac:dyDescent="0.3">
      <c r="B2" s="4"/>
      <c r="C2" s="5"/>
      <c r="D2" s="5"/>
      <c r="E2" s="6"/>
      <c r="G2" s="20"/>
    </row>
    <row r="3" spans="2:7" x14ac:dyDescent="0.3">
      <c r="B3" s="7"/>
      <c r="C3" s="63" t="s">
        <v>2</v>
      </c>
      <c r="D3" s="63"/>
      <c r="E3" s="9"/>
      <c r="G3" s="22"/>
    </row>
    <row r="4" spans="2:7" x14ac:dyDescent="0.3">
      <c r="B4" s="7"/>
      <c r="C4" s="8"/>
      <c r="D4" s="8"/>
      <c r="E4" s="9"/>
      <c r="F4" s="25" t="s">
        <v>3</v>
      </c>
      <c r="G4" s="25" t="s">
        <v>4</v>
      </c>
    </row>
    <row r="5" spans="2:7" x14ac:dyDescent="0.3">
      <c r="B5" s="7"/>
      <c r="C5" s="44" t="s">
        <v>5</v>
      </c>
      <c r="D5" s="32">
        <v>10000</v>
      </c>
      <c r="E5" s="9"/>
      <c r="F5" s="56" t="s">
        <v>6</v>
      </c>
      <c r="G5" s="57" t="s">
        <v>7</v>
      </c>
    </row>
    <row r="6" spans="2:7" x14ac:dyDescent="0.3">
      <c r="B6" s="7"/>
      <c r="C6" s="44" t="s">
        <v>8</v>
      </c>
      <c r="D6" s="32">
        <v>0</v>
      </c>
      <c r="E6" s="9"/>
      <c r="F6" s="56" t="s">
        <v>9</v>
      </c>
      <c r="G6" s="57" t="s">
        <v>10</v>
      </c>
    </row>
    <row r="7" spans="2:7" x14ac:dyDescent="0.3">
      <c r="B7" s="7"/>
      <c r="C7" s="47" t="s">
        <v>41</v>
      </c>
      <c r="D7" s="32">
        <v>0</v>
      </c>
      <c r="E7" s="9"/>
      <c r="F7" s="56" t="s">
        <v>11</v>
      </c>
      <c r="G7" s="57" t="s">
        <v>12</v>
      </c>
    </row>
    <row r="8" spans="2:7" x14ac:dyDescent="0.3">
      <c r="B8" s="7"/>
      <c r="C8" s="27"/>
      <c r="D8" s="33"/>
      <c r="E8" s="9"/>
      <c r="F8" s="56" t="s">
        <v>13</v>
      </c>
      <c r="G8" s="56" t="s">
        <v>14</v>
      </c>
    </row>
    <row r="9" spans="2:7" x14ac:dyDescent="0.3">
      <c r="B9" s="7"/>
      <c r="C9" s="28" t="s">
        <v>15</v>
      </c>
      <c r="D9" s="34">
        <f>SUM(D5:D7)</f>
        <v>10000</v>
      </c>
      <c r="E9" s="9"/>
      <c r="F9" s="56" t="s">
        <v>16</v>
      </c>
      <c r="G9" s="58" t="s">
        <v>17</v>
      </c>
    </row>
    <row r="10" spans="2:7" x14ac:dyDescent="0.3">
      <c r="B10" s="7"/>
      <c r="C10" s="28" t="s">
        <v>18</v>
      </c>
      <c r="D10" s="60">
        <v>36</v>
      </c>
      <c r="E10" s="9"/>
      <c r="F10" s="56" t="s">
        <v>19</v>
      </c>
      <c r="G10" s="56" t="s">
        <v>20</v>
      </c>
    </row>
    <row r="11" spans="2:7" x14ac:dyDescent="0.3">
      <c r="B11" s="7"/>
      <c r="C11" s="28"/>
      <c r="D11" s="35"/>
      <c r="E11" s="9"/>
      <c r="F11"/>
      <c r="G11"/>
    </row>
    <row r="12" spans="2:7" x14ac:dyDescent="0.3">
      <c r="B12" s="7"/>
      <c r="C12" s="28" t="s">
        <v>21</v>
      </c>
      <c r="D12" s="35">
        <f>платежі!C3</f>
        <v>627.78</v>
      </c>
      <c r="E12" s="9"/>
      <c r="F12" s="30"/>
      <c r="G12" s="31"/>
    </row>
    <row r="13" spans="2:7" x14ac:dyDescent="0.3">
      <c r="B13" s="7"/>
      <c r="C13" s="28" t="s">
        <v>42</v>
      </c>
      <c r="D13" s="35">
        <f>платежі!D3</f>
        <v>277.77999999999997</v>
      </c>
      <c r="E13" s="9"/>
      <c r="F13" s="11"/>
      <c r="G13" s="11"/>
    </row>
    <row r="14" spans="2:7" ht="13.8" customHeight="1" x14ac:dyDescent="0.3">
      <c r="B14" s="7"/>
      <c r="C14" s="28" t="s">
        <v>46</v>
      </c>
      <c r="D14" s="35">
        <f>платежі!E3</f>
        <v>350</v>
      </c>
      <c r="E14" s="9"/>
      <c r="G14" s="11"/>
    </row>
    <row r="15" spans="2:7" ht="15" customHeight="1" x14ac:dyDescent="0.3">
      <c r="B15" s="7"/>
      <c r="C15" s="28" t="s">
        <v>43</v>
      </c>
      <c r="D15" s="55">
        <v>0</v>
      </c>
      <c r="E15" s="9"/>
      <c r="G15" s="11"/>
    </row>
    <row r="16" spans="2:7" x14ac:dyDescent="0.3">
      <c r="B16" s="7"/>
      <c r="C16" s="28" t="s">
        <v>22</v>
      </c>
      <c r="D16" s="61">
        <f>D10</f>
        <v>36</v>
      </c>
      <c r="E16" s="9"/>
    </row>
    <row r="17" spans="2:7" ht="30" customHeight="1" x14ac:dyDescent="0.3">
      <c r="B17" s="7"/>
      <c r="C17" s="29" t="s">
        <v>23</v>
      </c>
      <c r="D17" s="46" t="s">
        <v>40</v>
      </c>
      <c r="E17" s="9"/>
      <c r="G17" s="12"/>
    </row>
    <row r="18" spans="2:7" x14ac:dyDescent="0.3">
      <c r="B18" s="7"/>
      <c r="C18" s="28"/>
      <c r="D18" s="35"/>
      <c r="E18" s="9"/>
    </row>
    <row r="19" spans="2:7" x14ac:dyDescent="0.3">
      <c r="B19" s="7"/>
      <c r="C19" s="28" t="s">
        <v>24</v>
      </c>
      <c r="D19" s="35">
        <f>SUM(платежі!E3:F38)</f>
        <v>12600</v>
      </c>
      <c r="E19" s="9"/>
      <c r="G19" s="10"/>
    </row>
    <row r="20" spans="2:7" x14ac:dyDescent="0.3">
      <c r="B20" s="7"/>
      <c r="C20" s="28" t="s">
        <v>25</v>
      </c>
      <c r="D20" s="35">
        <f>SUM(платежі!C3:C38)</f>
        <v>22599.999999999996</v>
      </c>
      <c r="E20" s="9"/>
      <c r="G20" s="10"/>
    </row>
    <row r="21" spans="2:7" x14ac:dyDescent="0.3">
      <c r="B21" s="7"/>
      <c r="C21" s="28" t="s">
        <v>26</v>
      </c>
      <c r="D21" s="45" t="s">
        <v>9</v>
      </c>
      <c r="E21" s="9"/>
      <c r="G21" s="13"/>
    </row>
    <row r="22" spans="2:7" ht="28.8" x14ac:dyDescent="0.3">
      <c r="B22" s="7"/>
      <c r="C22" s="28" t="s">
        <v>44</v>
      </c>
      <c r="D22" s="59">
        <f>IF(OR($D$21="Тариф 1",$D$21="Тариф 2",$D$21="Тариф 3"),IF($D$21="Тариф 1",2.5%,IF($D$21="Тариф 2",3.5%,6%)),0%)</f>
        <v>3.5000000000000003E-2</v>
      </c>
      <c r="E22" s="9"/>
      <c r="G22" s="14"/>
    </row>
    <row r="23" spans="2:7" ht="28.8" x14ac:dyDescent="0.3">
      <c r="B23" s="7"/>
      <c r="C23" s="28" t="s">
        <v>45</v>
      </c>
      <c r="D23" s="54">
        <v>0</v>
      </c>
      <c r="E23" s="9"/>
      <c r="G23" s="14"/>
    </row>
    <row r="24" spans="2:7" x14ac:dyDescent="0.3">
      <c r="B24" s="7"/>
      <c r="C24" s="28" t="s">
        <v>27</v>
      </c>
      <c r="D24" s="62">
        <f>IF(OR($D$21="Тариф 1",$D$21="Тариф 2",$D$21="Тариф 3"),0.00001%,IF($D$21="Тариф 4",49%,IF($D$21="Тариф 5",69%,109%)))</f>
        <v>1.0000000000000001E-7</v>
      </c>
      <c r="E24" s="9"/>
      <c r="G24" s="15"/>
    </row>
    <row r="25" spans="2:7" x14ac:dyDescent="0.3">
      <c r="B25" s="7"/>
      <c r="C25" s="28" t="s">
        <v>28</v>
      </c>
      <c r="D25" s="36">
        <f>IFERROR(XIRR(платежі!C2:C38,платежі!B2:B38),0)</f>
        <v>0.85538457632064802</v>
      </c>
      <c r="E25" s="9"/>
    </row>
    <row r="26" spans="2:7" x14ac:dyDescent="0.3">
      <c r="B26" s="7"/>
      <c r="C26" s="28" t="s">
        <v>29</v>
      </c>
      <c r="D26" s="37">
        <v>46204</v>
      </c>
      <c r="E26" s="9"/>
      <c r="G26" s="16"/>
    </row>
    <row r="27" spans="2:7" x14ac:dyDescent="0.3">
      <c r="B27" s="17"/>
      <c r="C27" s="18"/>
      <c r="D27" s="18"/>
      <c r="E27" s="19"/>
    </row>
    <row r="28" spans="2:7" x14ac:dyDescent="0.3">
      <c r="B28" s="3" t="s">
        <v>0</v>
      </c>
    </row>
    <row r="36" spans="3:6" x14ac:dyDescent="0.3">
      <c r="C36" s="20"/>
      <c r="D36" s="20"/>
      <c r="E36" s="20"/>
      <c r="F36" s="20"/>
    </row>
    <row r="37" spans="3:6" x14ac:dyDescent="0.3">
      <c r="C37" s="20"/>
      <c r="D37" s="20"/>
      <c r="E37" s="20"/>
      <c r="F37" s="20"/>
    </row>
    <row r="38" spans="3:6" x14ac:dyDescent="0.3">
      <c r="C38" s="20"/>
      <c r="D38" s="20"/>
      <c r="E38" s="20"/>
      <c r="F38" s="20"/>
    </row>
    <row r="39" spans="3:6" x14ac:dyDescent="0.3">
      <c r="C39" s="20"/>
      <c r="D39" s="20"/>
      <c r="E39" s="20"/>
      <c r="F39" s="20"/>
    </row>
    <row r="40" spans="3:6" x14ac:dyDescent="0.3">
      <c r="C40" s="20"/>
      <c r="D40" s="20"/>
      <c r="E40" s="20"/>
      <c r="F40" s="20"/>
    </row>
    <row r="41" spans="3:6" x14ac:dyDescent="0.3">
      <c r="C41" s="20"/>
      <c r="D41" s="20"/>
      <c r="E41" s="20"/>
      <c r="F41" s="20"/>
    </row>
    <row r="42" spans="3:6" x14ac:dyDescent="0.3">
      <c r="C42" s="20"/>
      <c r="D42" s="20"/>
      <c r="E42" s="20"/>
      <c r="F42" s="20"/>
    </row>
    <row r="43" spans="3:6" x14ac:dyDescent="0.3">
      <c r="C43" s="20"/>
      <c r="D43" s="20"/>
      <c r="E43" s="20"/>
      <c r="F43" s="20"/>
    </row>
    <row r="44" spans="3:6" x14ac:dyDescent="0.3">
      <c r="C44" s="20"/>
      <c r="D44" s="20"/>
      <c r="E44" s="20"/>
      <c r="F44" s="20"/>
    </row>
    <row r="45" spans="3:6" x14ac:dyDescent="0.3">
      <c r="C45" s="20"/>
      <c r="D45" s="20"/>
      <c r="E45" s="20"/>
      <c r="F45" s="20"/>
    </row>
    <row r="46" spans="3:6" x14ac:dyDescent="0.3">
      <c r="C46" s="20"/>
      <c r="D46" s="20"/>
      <c r="E46" s="20"/>
      <c r="F46" s="20"/>
    </row>
    <row r="47" spans="3:6" x14ac:dyDescent="0.3">
      <c r="C47" s="20"/>
      <c r="D47" s="20"/>
      <c r="E47" s="20"/>
      <c r="F47" s="20"/>
    </row>
    <row r="48" spans="3:6" x14ac:dyDescent="0.3">
      <c r="C48" s="20"/>
      <c r="D48" s="20"/>
      <c r="E48" s="20"/>
      <c r="F48" s="20"/>
    </row>
    <row r="49" spans="3:6" x14ac:dyDescent="0.3">
      <c r="C49" s="20"/>
      <c r="D49" s="20"/>
      <c r="E49" s="20"/>
      <c r="F49" s="20"/>
    </row>
    <row r="50" spans="3:6" x14ac:dyDescent="0.3">
      <c r="C50" s="20"/>
      <c r="D50" s="20"/>
      <c r="E50" s="20"/>
      <c r="F50" s="20"/>
    </row>
    <row r="51" spans="3:6" x14ac:dyDescent="0.3">
      <c r="C51" s="20"/>
      <c r="D51" s="20"/>
      <c r="E51" s="20"/>
      <c r="F51" s="20"/>
    </row>
    <row r="52" spans="3:6" x14ac:dyDescent="0.3">
      <c r="C52" s="20"/>
      <c r="D52" s="20"/>
      <c r="E52" s="20"/>
      <c r="F52" s="20"/>
    </row>
  </sheetData>
  <mergeCells count="1">
    <mergeCell ref="C3:D3"/>
  </mergeCells>
  <dataValidations count="3">
    <dataValidation type="whole" showInputMessage="1" showErrorMessage="1" errorTitle="Введіть іншу суму:" error="Мінімальна сума кредиту = 500 грн._x000a_Максимальна сума кредиту = 300 000 грн." prompt="Від 500 до 300 000 грн." sqref="D9" xr:uid="{00000000-0002-0000-0000-000000000000}">
      <formula1>500</formula1>
      <formula2>300000</formula2>
    </dataValidation>
    <dataValidation type="custom" allowBlank="1" showInputMessage="1" showErrorMessage="1" error="Вартість товару, доставки та комісія за переказ коштів (післяплата)  має бути в межах допустимої суми кредиту — від 500 до 300 000 грн._x000a_ _x000a_ " sqref="D5:D7" xr:uid="{00000000-0002-0000-0000-000002000000}">
      <formula1>AND($D$5+$D$6+$D$7&gt;=500,$D$5+$D$6+$D$7&lt;=300000)</formula1>
    </dataValidation>
    <dataValidation type="list" sqref="D21" xr:uid="{00000000-0002-0000-0000-000004000000}">
      <formula1>$F$5:$F$10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3000000}">
          <x14:formula1>
            <xm:f>платежі!$H$2:$H$10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workbookViewId="0">
      <selection activeCell="I16" sqref="B16:I29"/>
    </sheetView>
  </sheetViews>
  <sheetFormatPr defaultColWidth="11.5546875" defaultRowHeight="14.4" x14ac:dyDescent="0.3"/>
  <cols>
    <col min="1" max="1" width="8" customWidth="1"/>
    <col min="2" max="2" width="16" customWidth="1"/>
    <col min="3" max="3" width="15" customWidth="1"/>
    <col min="4" max="4" width="18" hidden="1" customWidth="1"/>
    <col min="5" max="6" width="14" hidden="1" customWidth="1"/>
    <col min="7" max="7" width="18" hidden="1" customWidth="1"/>
    <col min="8" max="8" width="10" customWidth="1"/>
  </cols>
  <sheetData>
    <row r="1" spans="1:12" x14ac:dyDescent="0.3">
      <c r="A1" s="41" t="s">
        <v>30</v>
      </c>
      <c r="B1" s="26" t="s">
        <v>31</v>
      </c>
      <c r="C1" s="26" t="s">
        <v>32</v>
      </c>
      <c r="D1" s="48" t="s">
        <v>33</v>
      </c>
      <c r="E1" s="48" t="s">
        <v>34</v>
      </c>
      <c r="F1" s="48" t="s">
        <v>35</v>
      </c>
      <c r="G1" s="49" t="s">
        <v>36</v>
      </c>
      <c r="H1" s="42" t="s">
        <v>37</v>
      </c>
      <c r="I1" s="1"/>
    </row>
    <row r="2" spans="1:12" x14ac:dyDescent="0.3">
      <c r="A2" s="33" t="s">
        <v>30</v>
      </c>
      <c r="B2" s="37">
        <f>Лист1!$D$26</f>
        <v>46204</v>
      </c>
      <c r="C2" s="23">
        <f>-Лист1!$D$9</f>
        <v>-10000</v>
      </c>
      <c r="D2" s="50">
        <v>0</v>
      </c>
      <c r="E2" s="50">
        <v>0</v>
      </c>
      <c r="F2" s="50">
        <v>0</v>
      </c>
      <c r="G2" s="51">
        <f>Лист1!$D$9</f>
        <v>10000</v>
      </c>
      <c r="H2" s="38">
        <v>1</v>
      </c>
      <c r="I2" s="1"/>
    </row>
    <row r="3" spans="1:12" x14ac:dyDescent="0.3">
      <c r="A3" s="33">
        <v>1</v>
      </c>
      <c r="B3" s="37">
        <f>EDATE($B$2,A3)</f>
        <v>46235</v>
      </c>
      <c r="C3" s="23">
        <f>IF(A3&lt;=Лист1!$D$10,D3+E3+F3,0)</f>
        <v>627.78</v>
      </c>
      <c r="D3" s="50">
        <f>IF(A3&lt;=Лист1!$D$10,IF(OR(Лист1!$D$21="Тариф 1",Лист1!$D$21="Тариф 2",Лист1!$D$21="Тариф 3"),IF(A3=Лист1!$D$10,G2,ROUND(Лист1!$D$9/Лист1!$D$10,2)),IF(A3=Лист1!$D$10,G2,ROUND(PMT(Лист1!$D$24/12,Лист1!$D$10,-Лист1!$D$9)-F3,2))),0)</f>
        <v>277.77999999999997</v>
      </c>
      <c r="E3" s="50">
        <f>IF(A3&lt;=Лист1!$D$10,IF(OR(Лист1!$D$21="Тариф 1",Лист1!$D$21="Тариф 2",Лист1!$D$21="Тариф 3"),ROUND(Лист1!$D$9*Лист1!$D$22,2),0),0)</f>
        <v>350</v>
      </c>
      <c r="F3" s="50">
        <f>IF(OR(Лист1!$D$21="Тариф 1",Лист1!$D$21="Тариф 2",Лист1!$D$21="Тариф 3"),0,IF(A3&lt;=Лист1!$D$10,ROUND(G2*Лист1!$D$24/365,2)*(B3-B2),0))</f>
        <v>0</v>
      </c>
      <c r="G3" s="51">
        <f>IF(A3&lt;=Лист1!$D$10,ROUND(G2-D3,2),0)</f>
        <v>9722.2199999999993</v>
      </c>
      <c r="H3" s="38">
        <v>3</v>
      </c>
      <c r="I3" s="1"/>
      <c r="K3" s="43"/>
      <c r="L3" s="43"/>
    </row>
    <row r="4" spans="1:12" x14ac:dyDescent="0.3">
      <c r="A4" s="33">
        <v>2</v>
      </c>
      <c r="B4" s="37">
        <f t="shared" ref="B4:B38" si="0">EDATE($B$2,A4)</f>
        <v>46266</v>
      </c>
      <c r="C4" s="23">
        <f>IF(A4&lt;=Лист1!$D$10,D4+E4+F4,0)</f>
        <v>627.78</v>
      </c>
      <c r="D4" s="50">
        <f>IF(A4&lt;=Лист1!$D$10,IF(OR(Лист1!$D$21="Тариф 1",Лист1!$D$21="Тариф 2",Лист1!$D$21="Тариф 3"),IF(A4=Лист1!$D$10,G3,ROUND(Лист1!$D$9/Лист1!$D$10,2)),IF(A4=Лист1!$D$10,G3,ROUND(PMT(Лист1!$D$24/12,Лист1!$D$10,-Лист1!$D$9)-F4,2))),0)</f>
        <v>277.77999999999997</v>
      </c>
      <c r="E4" s="50">
        <f>IF(A4&lt;=Лист1!$D$10,IF(OR(Лист1!$D$21="Тариф 1",Лист1!$D$21="Тариф 2",Лист1!$D$21="Тариф 3"),ROUND(Лист1!$D$9*Лист1!$D$22,2),0),0)</f>
        <v>350</v>
      </c>
      <c r="F4" s="50">
        <f>IF(OR(Лист1!$D$21="Тариф 1",Лист1!$D$21="Тариф 2",Лист1!$D$21="Тариф 3"),0,IF(A4&lt;=Лист1!$D$10,ROUND(G3*Лист1!$D$24/365,2)*(B4-B3),0))</f>
        <v>0</v>
      </c>
      <c r="G4" s="51">
        <f>IF(A4&lt;=Лист1!$D$10,ROUND(G3-D4,2),0)</f>
        <v>9444.44</v>
      </c>
      <c r="H4" s="38">
        <v>6</v>
      </c>
      <c r="I4" s="1"/>
      <c r="K4" s="43"/>
      <c r="L4" s="43"/>
    </row>
    <row r="5" spans="1:12" x14ac:dyDescent="0.3">
      <c r="A5" s="33">
        <v>3</v>
      </c>
      <c r="B5" s="37">
        <f t="shared" si="0"/>
        <v>46296</v>
      </c>
      <c r="C5" s="23">
        <f>IF(A5&lt;=Лист1!$D$10,D5+E5+F5,0)</f>
        <v>627.78</v>
      </c>
      <c r="D5" s="50">
        <f>IF(A5&lt;=Лист1!$D$10,IF(OR(Лист1!$D$21="Тариф 1",Лист1!$D$21="Тариф 2",Лист1!$D$21="Тариф 3"),IF(A5=Лист1!$D$10,G4,ROUND(Лист1!$D$9/Лист1!$D$10,2)),IF(A5=Лист1!$D$10,G4,ROUND(PMT(Лист1!$D$24/12,Лист1!$D$10,-Лист1!$D$9)-F5,2))),0)</f>
        <v>277.77999999999997</v>
      </c>
      <c r="E5" s="50">
        <f>IF(A5&lt;=Лист1!$D$10,IF(OR(Лист1!$D$21="Тариф 1",Лист1!$D$21="Тариф 2",Лист1!$D$21="Тариф 3"),ROUND(Лист1!$D$9*Лист1!$D$22,2),0),0)</f>
        <v>350</v>
      </c>
      <c r="F5" s="50">
        <f>IF(OR(Лист1!$D$21="Тариф 1",Лист1!$D$21="Тариф 2",Лист1!$D$21="Тариф 3"),0,IF(A5&lt;=Лист1!$D$10,ROUND(G4*Лист1!$D$24/365,2)*(B5-B4),0))</f>
        <v>0</v>
      </c>
      <c r="G5" s="51">
        <f>IF(A5&lt;=Лист1!$D$10,ROUND(G4-D5,2),0)</f>
        <v>9166.66</v>
      </c>
      <c r="H5" s="38">
        <v>10</v>
      </c>
      <c r="I5" s="1"/>
      <c r="K5" s="43"/>
      <c r="L5" s="43"/>
    </row>
    <row r="6" spans="1:12" x14ac:dyDescent="0.3">
      <c r="A6" s="33">
        <v>4</v>
      </c>
      <c r="B6" s="37">
        <f t="shared" si="0"/>
        <v>46327</v>
      </c>
      <c r="C6" s="23">
        <f>IF(A6&lt;=Лист1!$D$10,D6+E6+F6,0)</f>
        <v>627.78</v>
      </c>
      <c r="D6" s="50">
        <f>IF(A6&lt;=Лист1!$D$10,IF(OR(Лист1!$D$21="Тариф 1",Лист1!$D$21="Тариф 2",Лист1!$D$21="Тариф 3"),IF(A6=Лист1!$D$10,G5,ROUND(Лист1!$D$9/Лист1!$D$10,2)),IF(A6=Лист1!$D$10,G5,ROUND(PMT(Лист1!$D$24/12,Лист1!$D$10,-Лист1!$D$9)-F6,2))),0)</f>
        <v>277.77999999999997</v>
      </c>
      <c r="E6" s="50">
        <f>IF(A6&lt;=Лист1!$D$10,IF(OR(Лист1!$D$21="Тариф 1",Лист1!$D$21="Тариф 2",Лист1!$D$21="Тариф 3"),ROUND(Лист1!$D$9*Лист1!$D$22,2),0),0)</f>
        <v>350</v>
      </c>
      <c r="F6" s="50">
        <f>IF(OR(Лист1!$D$21="Тариф 1",Лист1!$D$21="Тариф 2",Лист1!$D$21="Тариф 3"),0,IF(A6&lt;=Лист1!$D$10,ROUND(G5*Лист1!$D$24/365,2)*(B6-B5),0))</f>
        <v>0</v>
      </c>
      <c r="G6" s="51">
        <f>IF(A6&lt;=Лист1!$D$10,ROUND(G5-D6,2),0)</f>
        <v>8888.8799999999992</v>
      </c>
      <c r="H6" s="38">
        <v>12</v>
      </c>
      <c r="I6" s="1"/>
      <c r="K6" s="43"/>
      <c r="L6" s="43"/>
    </row>
    <row r="7" spans="1:12" x14ac:dyDescent="0.3">
      <c r="A7" s="33">
        <v>5</v>
      </c>
      <c r="B7" s="37">
        <f t="shared" si="0"/>
        <v>46357</v>
      </c>
      <c r="C7" s="23">
        <f>IF(A7&lt;=Лист1!$D$10,D7+E7+F7,0)</f>
        <v>627.78</v>
      </c>
      <c r="D7" s="50">
        <f>IF(A7&lt;=Лист1!$D$10,IF(OR(Лист1!$D$21="Тариф 1",Лист1!$D$21="Тариф 2",Лист1!$D$21="Тариф 3"),IF(A7=Лист1!$D$10,G6,ROUND(Лист1!$D$9/Лист1!$D$10,2)),IF(A7=Лист1!$D$10,G6,ROUND(PMT(Лист1!$D$24/12,Лист1!$D$10,-Лист1!$D$9)-F7,2))),0)</f>
        <v>277.77999999999997</v>
      </c>
      <c r="E7" s="50">
        <f>IF(A7&lt;=Лист1!$D$10,IF(OR(Лист1!$D$21="Тариф 1",Лист1!$D$21="Тариф 2",Лист1!$D$21="Тариф 3"),ROUND(Лист1!$D$9*Лист1!$D$22,2),0),0)</f>
        <v>350</v>
      </c>
      <c r="F7" s="50">
        <f>IF(OR(Лист1!$D$21="Тариф 1",Лист1!$D$21="Тариф 2",Лист1!$D$21="Тариф 3"),0,IF(A7&lt;=Лист1!$D$10,ROUND(G6*Лист1!$D$24/365,2)*(B7-B6),0))</f>
        <v>0</v>
      </c>
      <c r="G7" s="51">
        <f>IF(A7&lt;=Лист1!$D$10,ROUND(G6-D7,2),0)</f>
        <v>8611.1</v>
      </c>
      <c r="H7" s="38">
        <v>18</v>
      </c>
      <c r="I7" s="1"/>
      <c r="K7" s="43"/>
      <c r="L7" s="43"/>
    </row>
    <row r="8" spans="1:12" x14ac:dyDescent="0.3">
      <c r="A8" s="33">
        <v>6</v>
      </c>
      <c r="B8" s="37">
        <f t="shared" si="0"/>
        <v>46388</v>
      </c>
      <c r="C8" s="23">
        <f>IF(A8&lt;=Лист1!$D$10,D8+E8+F8,0)</f>
        <v>627.78</v>
      </c>
      <c r="D8" s="50">
        <f>IF(A8&lt;=Лист1!$D$10,IF(OR(Лист1!$D$21="Тариф 1",Лист1!$D$21="Тариф 2",Лист1!$D$21="Тариф 3"),IF(A8=Лист1!$D$10,G7,ROUND(Лист1!$D$9/Лист1!$D$10,2)),IF(A8=Лист1!$D$10,G7,ROUND(PMT(Лист1!$D$24/12,Лист1!$D$10,-Лист1!$D$9)-F8,2))),0)</f>
        <v>277.77999999999997</v>
      </c>
      <c r="E8" s="50">
        <f>IF(A8&lt;=Лист1!$D$10,IF(OR(Лист1!$D$21="Тариф 1",Лист1!$D$21="Тариф 2",Лист1!$D$21="Тариф 3"),ROUND(Лист1!$D$9*Лист1!$D$22,2),0),0)</f>
        <v>350</v>
      </c>
      <c r="F8" s="50">
        <f>IF(OR(Лист1!$D$21="Тариф 1",Лист1!$D$21="Тариф 2",Лист1!$D$21="Тариф 3"),0,IF(A8&lt;=Лист1!$D$10,ROUND(G7*Лист1!$D$24/365,2)*(B8-B7),0))</f>
        <v>0</v>
      </c>
      <c r="G8" s="51">
        <f>IF(A8&lt;=Лист1!$D$10,ROUND(G7-D8,2),0)</f>
        <v>8333.32</v>
      </c>
      <c r="H8" s="38">
        <v>24</v>
      </c>
      <c r="I8" s="1"/>
      <c r="K8" s="43"/>
      <c r="L8" s="43"/>
    </row>
    <row r="9" spans="1:12" x14ac:dyDescent="0.3">
      <c r="A9" s="33">
        <v>7</v>
      </c>
      <c r="B9" s="37">
        <f t="shared" si="0"/>
        <v>46419</v>
      </c>
      <c r="C9" s="23">
        <f>IF(A9&lt;=Лист1!$D$10,D9+E9+F9,0)</f>
        <v>627.78</v>
      </c>
      <c r="D9" s="50">
        <f>IF(A9&lt;=Лист1!$D$10,IF(OR(Лист1!$D$21="Тариф 1",Лист1!$D$21="Тариф 2",Лист1!$D$21="Тариф 3"),IF(A9=Лист1!$D$10,G8,ROUND(Лист1!$D$9/Лист1!$D$10,2)),IF(A9=Лист1!$D$10,G8,ROUND(PMT(Лист1!$D$24/12,Лист1!$D$10,-Лист1!$D$9)-F9,2))),0)</f>
        <v>277.77999999999997</v>
      </c>
      <c r="E9" s="50">
        <f>IF(A9&lt;=Лист1!$D$10,IF(OR(Лист1!$D$21="Тариф 1",Лист1!$D$21="Тариф 2",Лист1!$D$21="Тариф 3"),ROUND(Лист1!$D$9*Лист1!$D$22,2),0),0)</f>
        <v>350</v>
      </c>
      <c r="F9" s="50">
        <f>IF(OR(Лист1!$D$21="Тариф 1",Лист1!$D$21="Тариф 2",Лист1!$D$21="Тариф 3"),0,IF(A9&lt;=Лист1!$D$10,ROUND(G8*Лист1!$D$24/365,2)*(B9-B8),0))</f>
        <v>0</v>
      </c>
      <c r="G9" s="51">
        <f>IF(A9&lt;=Лист1!$D$10,ROUND(G8-D9,2),0)</f>
        <v>8055.54</v>
      </c>
      <c r="H9" s="38">
        <v>30</v>
      </c>
      <c r="I9" s="1"/>
      <c r="K9" s="43"/>
      <c r="L9" s="43"/>
    </row>
    <row r="10" spans="1:12" x14ac:dyDescent="0.3">
      <c r="A10" s="33">
        <v>8</v>
      </c>
      <c r="B10" s="37">
        <f t="shared" si="0"/>
        <v>46447</v>
      </c>
      <c r="C10" s="23">
        <f>IF(A10&lt;=Лист1!$D$10,D10+E10+F10,0)</f>
        <v>627.78</v>
      </c>
      <c r="D10" s="50">
        <f>IF(A10&lt;=Лист1!$D$10,IF(OR(Лист1!$D$21="Тариф 1",Лист1!$D$21="Тариф 2",Лист1!$D$21="Тариф 3"),IF(A10=Лист1!$D$10,G9,ROUND(Лист1!$D$9/Лист1!$D$10,2)),IF(A10=Лист1!$D$10,G9,ROUND(PMT(Лист1!$D$24/12,Лист1!$D$10,-Лист1!$D$9)-F10,2))),0)</f>
        <v>277.77999999999997</v>
      </c>
      <c r="E10" s="50">
        <f>IF(A10&lt;=Лист1!$D$10,IF(OR(Лист1!$D$21="Тариф 1",Лист1!$D$21="Тариф 2",Лист1!$D$21="Тариф 3"),ROUND(Лист1!$D$9*Лист1!$D$22,2),0),0)</f>
        <v>350</v>
      </c>
      <c r="F10" s="50">
        <f>IF(OR(Лист1!$D$21="Тариф 1",Лист1!$D$21="Тариф 2",Лист1!$D$21="Тариф 3"),0,IF(A10&lt;=Лист1!$D$10,ROUND(G9*Лист1!$D$24/365,2)*(B10-B9),0))</f>
        <v>0</v>
      </c>
      <c r="G10" s="51">
        <f>IF(A10&lt;=Лист1!$D$10,ROUND(G9-D10,2),0)</f>
        <v>7777.76</v>
      </c>
      <c r="H10" s="38">
        <v>36</v>
      </c>
      <c r="I10" s="1"/>
      <c r="K10" s="43"/>
      <c r="L10" s="43"/>
    </row>
    <row r="11" spans="1:12" x14ac:dyDescent="0.3">
      <c r="A11" s="33">
        <v>9</v>
      </c>
      <c r="B11" s="37">
        <f t="shared" si="0"/>
        <v>46478</v>
      </c>
      <c r="C11" s="23">
        <f>IF(A11&lt;=Лист1!$D$10,D11+E11+F11,0)</f>
        <v>627.78</v>
      </c>
      <c r="D11" s="50">
        <f>IF(A11&lt;=Лист1!$D$10,IF(OR(Лист1!$D$21="Тариф 1",Лист1!$D$21="Тариф 2",Лист1!$D$21="Тариф 3"),IF(A11=Лист1!$D$10,G10,ROUND(Лист1!$D$9/Лист1!$D$10,2)),IF(A11=Лист1!$D$10,G10,ROUND(PMT(Лист1!$D$24/12,Лист1!$D$10,-Лист1!$D$9)-F11,2))),0)</f>
        <v>277.77999999999997</v>
      </c>
      <c r="E11" s="50">
        <f>IF(A11&lt;=Лист1!$D$10,IF(OR(Лист1!$D$21="Тариф 1",Лист1!$D$21="Тариф 2",Лист1!$D$21="Тариф 3"),ROUND(Лист1!$D$9*Лист1!$D$22,2),0),0)</f>
        <v>350</v>
      </c>
      <c r="F11" s="50">
        <f>IF(OR(Лист1!$D$21="Тариф 1",Лист1!$D$21="Тариф 2",Лист1!$D$21="Тариф 3"),0,IF(A11&lt;=Лист1!$D$10,ROUND(G10*Лист1!$D$24/365,2)*(B11-B10),0))</f>
        <v>0</v>
      </c>
      <c r="G11" s="51">
        <f>IF(A11&lt;=Лист1!$D$10,ROUND(G10-D11,2),0)</f>
        <v>7499.98</v>
      </c>
      <c r="H11" s="38"/>
      <c r="I11" s="1"/>
      <c r="K11" s="43"/>
      <c r="L11" s="43"/>
    </row>
    <row r="12" spans="1:12" x14ac:dyDescent="0.3">
      <c r="A12" s="33">
        <v>10</v>
      </c>
      <c r="B12" s="37">
        <f t="shared" si="0"/>
        <v>46508</v>
      </c>
      <c r="C12" s="23">
        <f>IF(A12&lt;=Лист1!$D$10,D12+E12+F12,0)</f>
        <v>627.78</v>
      </c>
      <c r="D12" s="50">
        <f>IF(A12&lt;=Лист1!$D$10,IF(OR(Лист1!$D$21="Тариф 1",Лист1!$D$21="Тариф 2",Лист1!$D$21="Тариф 3"),IF(A12=Лист1!$D$10,G11,ROUND(Лист1!$D$9/Лист1!$D$10,2)),IF(A12=Лист1!$D$10,G11,ROUND(PMT(Лист1!$D$24/12,Лист1!$D$10,-Лист1!$D$9)-F12,2))),0)</f>
        <v>277.77999999999997</v>
      </c>
      <c r="E12" s="50">
        <f>IF(A12&lt;=Лист1!$D$10,IF(OR(Лист1!$D$21="Тариф 1",Лист1!$D$21="Тариф 2",Лист1!$D$21="Тариф 3"),ROUND(Лист1!$D$9*Лист1!$D$22,2),0),0)</f>
        <v>350</v>
      </c>
      <c r="F12" s="50">
        <f>IF(OR(Лист1!$D$21="Тариф 1",Лист1!$D$21="Тариф 2",Лист1!$D$21="Тариф 3"),0,IF(A12&lt;=Лист1!$D$10,ROUND(G11*Лист1!$D$24/365,2)*(B12-B11),0))</f>
        <v>0</v>
      </c>
      <c r="G12" s="51">
        <f>IF(A12&lt;=Лист1!$D$10,ROUND(G11-D12,2),0)</f>
        <v>7222.2</v>
      </c>
      <c r="H12" s="38"/>
      <c r="I12" s="1"/>
      <c r="K12" s="43"/>
      <c r="L12" s="43"/>
    </row>
    <row r="13" spans="1:12" x14ac:dyDescent="0.3">
      <c r="A13" s="33">
        <v>11</v>
      </c>
      <c r="B13" s="37">
        <f t="shared" si="0"/>
        <v>46539</v>
      </c>
      <c r="C13" s="23">
        <f>IF(A13&lt;=Лист1!$D$10,D13+E13+F13,0)</f>
        <v>627.78</v>
      </c>
      <c r="D13" s="50">
        <f>IF(A13&lt;=Лист1!$D$10,IF(OR(Лист1!$D$21="Тариф 1",Лист1!$D$21="Тариф 2",Лист1!$D$21="Тариф 3"),IF(A13=Лист1!$D$10,G12,ROUND(Лист1!$D$9/Лист1!$D$10,2)),IF(A13=Лист1!$D$10,G12,ROUND(PMT(Лист1!$D$24/12,Лист1!$D$10,-Лист1!$D$9)-F13,2))),0)</f>
        <v>277.77999999999997</v>
      </c>
      <c r="E13" s="50">
        <f>IF(A13&lt;=Лист1!$D$10,IF(OR(Лист1!$D$21="Тариф 1",Лист1!$D$21="Тариф 2",Лист1!$D$21="Тариф 3"),ROUND(Лист1!$D$9*Лист1!$D$22,2),0),0)</f>
        <v>350</v>
      </c>
      <c r="F13" s="50">
        <f>IF(OR(Лист1!$D$21="Тариф 1",Лист1!$D$21="Тариф 2",Лист1!$D$21="Тариф 3"),0,IF(A13&lt;=Лист1!$D$10,ROUND(G12*Лист1!$D$24/365,2)*(B13-B12),0))</f>
        <v>0</v>
      </c>
      <c r="G13" s="51">
        <f>IF(A13&lt;=Лист1!$D$10,ROUND(G12-D13,2),0)</f>
        <v>6944.42</v>
      </c>
      <c r="H13" s="38"/>
      <c r="I13" s="1"/>
      <c r="K13" s="43"/>
      <c r="L13" s="43"/>
    </row>
    <row r="14" spans="1:12" x14ac:dyDescent="0.3">
      <c r="A14" s="33">
        <v>12</v>
      </c>
      <c r="B14" s="37">
        <f t="shared" si="0"/>
        <v>46569</v>
      </c>
      <c r="C14" s="23">
        <f>IF(A14&lt;=Лист1!$D$10,D14+E14+F14,0)</f>
        <v>627.78</v>
      </c>
      <c r="D14" s="50">
        <f>IF(A14&lt;=Лист1!$D$10,IF(OR(Лист1!$D$21="Тариф 1",Лист1!$D$21="Тариф 2",Лист1!$D$21="Тариф 3"),IF(A14=Лист1!$D$10,G13,ROUND(Лист1!$D$9/Лист1!$D$10,2)),IF(A14=Лист1!$D$10,G13,ROUND(PMT(Лист1!$D$24/12,Лист1!$D$10,-Лист1!$D$9)-F14,2))),0)</f>
        <v>277.77999999999997</v>
      </c>
      <c r="E14" s="50">
        <f>IF(A14&lt;=Лист1!$D$10,IF(OR(Лист1!$D$21="Тариф 1",Лист1!$D$21="Тариф 2",Лист1!$D$21="Тариф 3"),ROUND(Лист1!$D$9*Лист1!$D$22,2),0),0)</f>
        <v>350</v>
      </c>
      <c r="F14" s="50">
        <f>IF(OR(Лист1!$D$21="Тариф 1",Лист1!$D$21="Тариф 2",Лист1!$D$21="Тариф 3"),0,IF(A14&lt;=Лист1!$D$10,ROUND(G13*Лист1!$D$24/365,2)*(B14-B13),0))</f>
        <v>0</v>
      </c>
      <c r="G14" s="51">
        <f>IF(A14&lt;=Лист1!$D$10,ROUND(G13-D14,2),0)</f>
        <v>6666.64</v>
      </c>
      <c r="H14" s="38"/>
      <c r="I14" s="1"/>
      <c r="K14" s="43"/>
      <c r="L14" s="43"/>
    </row>
    <row r="15" spans="1:12" x14ac:dyDescent="0.3">
      <c r="A15" s="33">
        <v>13</v>
      </c>
      <c r="B15" s="37">
        <f t="shared" si="0"/>
        <v>46600</v>
      </c>
      <c r="C15" s="23">
        <f>IF(A15&lt;=Лист1!$D$10,D15+E15+F15,0)</f>
        <v>627.78</v>
      </c>
      <c r="D15" s="50">
        <f>IF(A15&lt;=Лист1!$D$10,IF(OR(Лист1!$D$21="Тариф 1",Лист1!$D$21="Тариф 2",Лист1!$D$21="Тариф 3"),IF(A15=Лист1!$D$10,G14,ROUND(Лист1!$D$9/Лист1!$D$10,2)),IF(A15=Лист1!$D$10,G14,ROUND(PMT(Лист1!$D$24/12,Лист1!$D$10,-Лист1!$D$9)-F15,2))),0)</f>
        <v>277.77999999999997</v>
      </c>
      <c r="E15" s="50">
        <f>IF(A15&lt;=Лист1!$D$10,IF(OR(Лист1!$D$21="Тариф 1",Лист1!$D$21="Тариф 2",Лист1!$D$21="Тариф 3"),ROUND(Лист1!$D$9*Лист1!$D$22,2),0),0)</f>
        <v>350</v>
      </c>
      <c r="F15" s="50">
        <f>IF(OR(Лист1!$D$21="Тариф 1",Лист1!$D$21="Тариф 2",Лист1!$D$21="Тариф 3"),0,IF(A15&lt;=Лист1!$D$10,ROUND(G14*Лист1!$D$24/365,2)*(B15-B14),0))</f>
        <v>0</v>
      </c>
      <c r="G15" s="51">
        <f>IF(A15&lt;=Лист1!$D$10,ROUND(G14-D15,2),0)</f>
        <v>6388.86</v>
      </c>
      <c r="H15" s="38"/>
      <c r="I15" s="1"/>
      <c r="K15" s="43"/>
      <c r="L15" s="43"/>
    </row>
    <row r="16" spans="1:12" x14ac:dyDescent="0.3">
      <c r="A16" s="33">
        <v>14</v>
      </c>
      <c r="B16" s="37">
        <f t="shared" si="0"/>
        <v>46631</v>
      </c>
      <c r="C16" s="23">
        <f>IF(A16&lt;=Лист1!$D$10,D16+E16+F16,0)</f>
        <v>627.78</v>
      </c>
      <c r="D16" s="50">
        <f>IF(A16&lt;=Лист1!$D$10,IF(OR(Лист1!$D$21="Тариф 1",Лист1!$D$21="Тариф 2",Лист1!$D$21="Тариф 3"),IF(A16=Лист1!$D$10,G15,ROUND(Лист1!$D$9/Лист1!$D$10,2)),IF(A16=Лист1!$D$10,G15,ROUND(PMT(Лист1!$D$24/12,Лист1!$D$10,-Лист1!$D$9)-F16,2))),0)</f>
        <v>277.77999999999997</v>
      </c>
      <c r="E16" s="50">
        <f>IF(A16&lt;=Лист1!$D$10,IF(OR(Лист1!$D$21="Тариф 1",Лист1!$D$21="Тариф 2",Лист1!$D$21="Тариф 3"),ROUND(Лист1!$D$9*Лист1!$D$22,2),0),0)</f>
        <v>350</v>
      </c>
      <c r="F16" s="50">
        <f>IF(OR(Лист1!$D$21="Тариф 1",Лист1!$D$21="Тариф 2",Лист1!$D$21="Тариф 3"),0,IF(A16&lt;=Лист1!$D$10,ROUND(G15*Лист1!$D$24/365,2)*(B16-B15),0))</f>
        <v>0</v>
      </c>
      <c r="G16" s="51">
        <f>IF(A16&lt;=Лист1!$D$10,ROUND(G15-D16,2),0)</f>
        <v>6111.08</v>
      </c>
      <c r="H16" s="38"/>
      <c r="I16" s="1"/>
      <c r="K16" s="43"/>
      <c r="L16" s="43"/>
    </row>
    <row r="17" spans="1:12" x14ac:dyDescent="0.3">
      <c r="A17" s="33">
        <v>15</v>
      </c>
      <c r="B17" s="37">
        <f t="shared" si="0"/>
        <v>46661</v>
      </c>
      <c r="C17" s="23">
        <f>IF(A17&lt;=Лист1!$D$10,D17+E17+F17,0)</f>
        <v>627.78</v>
      </c>
      <c r="D17" s="50">
        <f>IF(A17&lt;=Лист1!$D$10,IF(OR(Лист1!$D$21="Тариф 1",Лист1!$D$21="Тариф 2",Лист1!$D$21="Тариф 3"),IF(A17=Лист1!$D$10,G16,ROUND(Лист1!$D$9/Лист1!$D$10,2)),IF(A17=Лист1!$D$10,G16,ROUND(PMT(Лист1!$D$24/12,Лист1!$D$10,-Лист1!$D$9)-F17,2))),0)</f>
        <v>277.77999999999997</v>
      </c>
      <c r="E17" s="50">
        <f>IF(A17&lt;=Лист1!$D$10,IF(OR(Лист1!$D$21="Тариф 1",Лист1!$D$21="Тариф 2",Лист1!$D$21="Тариф 3"),ROUND(Лист1!$D$9*Лист1!$D$22,2),0),0)</f>
        <v>350</v>
      </c>
      <c r="F17" s="50">
        <f>IF(OR(Лист1!$D$21="Тариф 1",Лист1!$D$21="Тариф 2",Лист1!$D$21="Тариф 3"),0,IF(A17&lt;=Лист1!$D$10,ROUND(G16*Лист1!$D$24/365,2)*(B17-B16),0))</f>
        <v>0</v>
      </c>
      <c r="G17" s="51">
        <f>IF(A17&lt;=Лист1!$D$10,ROUND(G16-D17,2),0)</f>
        <v>5833.3</v>
      </c>
      <c r="H17" s="38"/>
      <c r="I17" s="1"/>
      <c r="K17" s="43"/>
      <c r="L17" s="43"/>
    </row>
    <row r="18" spans="1:12" x14ac:dyDescent="0.3">
      <c r="A18" s="33">
        <v>16</v>
      </c>
      <c r="B18" s="37">
        <f t="shared" si="0"/>
        <v>46692</v>
      </c>
      <c r="C18" s="23">
        <f>IF(A18&lt;=Лист1!$D$10,D18+E18+F18,0)</f>
        <v>627.78</v>
      </c>
      <c r="D18" s="50">
        <f>IF(A18&lt;=Лист1!$D$10,IF(OR(Лист1!$D$21="Тариф 1",Лист1!$D$21="Тариф 2",Лист1!$D$21="Тариф 3"),IF(A18=Лист1!$D$10,G17,ROUND(Лист1!$D$9/Лист1!$D$10,2)),IF(A18=Лист1!$D$10,G17,ROUND(PMT(Лист1!$D$24/12,Лист1!$D$10,-Лист1!$D$9)-F18,2))),0)</f>
        <v>277.77999999999997</v>
      </c>
      <c r="E18" s="50">
        <f>IF(A18&lt;=Лист1!$D$10,IF(OR(Лист1!$D$21="Тариф 1",Лист1!$D$21="Тариф 2",Лист1!$D$21="Тариф 3"),ROUND(Лист1!$D$9*Лист1!$D$22,2),0),0)</f>
        <v>350</v>
      </c>
      <c r="F18" s="50">
        <f>IF(OR(Лист1!$D$21="Тариф 1",Лист1!$D$21="Тариф 2",Лист1!$D$21="Тариф 3"),0,IF(A18&lt;=Лист1!$D$10,ROUND(G17*Лист1!$D$24/365,2)*(B18-B17),0))</f>
        <v>0</v>
      </c>
      <c r="G18" s="51">
        <f>IF(A18&lt;=Лист1!$D$10,ROUND(G17-D18,2),0)</f>
        <v>5555.52</v>
      </c>
      <c r="H18" s="38"/>
      <c r="I18" s="1"/>
      <c r="K18" s="43"/>
      <c r="L18" s="43"/>
    </row>
    <row r="19" spans="1:12" x14ac:dyDescent="0.3">
      <c r="A19" s="33">
        <v>17</v>
      </c>
      <c r="B19" s="37">
        <f t="shared" si="0"/>
        <v>46722</v>
      </c>
      <c r="C19" s="23">
        <f>IF(A19&lt;=Лист1!$D$10,D19+E19+F19,0)</f>
        <v>627.78</v>
      </c>
      <c r="D19" s="50">
        <f>IF(A19&lt;=Лист1!$D$10,IF(OR(Лист1!$D$21="Тариф 1",Лист1!$D$21="Тариф 2",Лист1!$D$21="Тариф 3"),IF(A19=Лист1!$D$10,G18,ROUND(Лист1!$D$9/Лист1!$D$10,2)),IF(A19=Лист1!$D$10,G18,ROUND(PMT(Лист1!$D$24/12,Лист1!$D$10,-Лист1!$D$9)-F19,2))),0)</f>
        <v>277.77999999999997</v>
      </c>
      <c r="E19" s="50">
        <f>IF(A19&lt;=Лист1!$D$10,IF(OR(Лист1!$D$21="Тариф 1",Лист1!$D$21="Тариф 2",Лист1!$D$21="Тариф 3"),ROUND(Лист1!$D$9*Лист1!$D$22,2),0),0)</f>
        <v>350</v>
      </c>
      <c r="F19" s="50">
        <f>IF(OR(Лист1!$D$21="Тариф 1",Лист1!$D$21="Тариф 2",Лист1!$D$21="Тариф 3"),0,IF(A19&lt;=Лист1!$D$10,ROUND(G18*Лист1!$D$24/365,2)*(B19-B18),0))</f>
        <v>0</v>
      </c>
      <c r="G19" s="51">
        <f>IF(A19&lt;=Лист1!$D$10,ROUND(G18-D19,2),0)</f>
        <v>5277.74</v>
      </c>
      <c r="H19" s="38"/>
      <c r="I19" s="1"/>
      <c r="K19" s="43"/>
      <c r="L19" s="43"/>
    </row>
    <row r="20" spans="1:12" x14ac:dyDescent="0.3">
      <c r="A20" s="33">
        <v>18</v>
      </c>
      <c r="B20" s="37">
        <f t="shared" si="0"/>
        <v>46753</v>
      </c>
      <c r="C20" s="23">
        <f>IF(A20&lt;=Лист1!$D$10,D20+E20+F20,0)</f>
        <v>627.78</v>
      </c>
      <c r="D20" s="50">
        <f>IF(A20&lt;=Лист1!$D$10,IF(OR(Лист1!$D$21="Тариф 1",Лист1!$D$21="Тариф 2",Лист1!$D$21="Тариф 3"),IF(A20=Лист1!$D$10,G19,ROUND(Лист1!$D$9/Лист1!$D$10,2)),IF(A20=Лист1!$D$10,G19,ROUND(PMT(Лист1!$D$24/12,Лист1!$D$10,-Лист1!$D$9)-F20,2))),0)</f>
        <v>277.77999999999997</v>
      </c>
      <c r="E20" s="50">
        <f>IF(A20&lt;=Лист1!$D$10,IF(OR(Лист1!$D$21="Тариф 1",Лист1!$D$21="Тариф 2",Лист1!$D$21="Тариф 3"),ROUND(Лист1!$D$9*Лист1!$D$22,2),0),0)</f>
        <v>350</v>
      </c>
      <c r="F20" s="50">
        <f>IF(OR(Лист1!$D$21="Тариф 1",Лист1!$D$21="Тариф 2",Лист1!$D$21="Тариф 3"),0,IF(A20&lt;=Лист1!$D$10,ROUND(G19*Лист1!$D$24/365,2)*(B20-B19),0))</f>
        <v>0</v>
      </c>
      <c r="G20" s="51">
        <f>IF(A20&lt;=Лист1!$D$10,ROUND(G19-D20,2),0)</f>
        <v>4999.96</v>
      </c>
      <c r="H20" s="38"/>
      <c r="I20" s="1"/>
      <c r="K20" s="43"/>
      <c r="L20" s="43"/>
    </row>
    <row r="21" spans="1:12" x14ac:dyDescent="0.3">
      <c r="A21" s="33">
        <v>19</v>
      </c>
      <c r="B21" s="37">
        <f t="shared" si="0"/>
        <v>46784</v>
      </c>
      <c r="C21" s="23">
        <f>IF(A21&lt;=Лист1!$D$10,D21+E21+F21,0)</f>
        <v>627.78</v>
      </c>
      <c r="D21" s="50">
        <f>IF(A21&lt;=Лист1!$D$10,IF(OR(Лист1!$D$21="Тариф 1",Лист1!$D$21="Тариф 2",Лист1!$D$21="Тариф 3"),IF(A21=Лист1!$D$10,G20,ROUND(Лист1!$D$9/Лист1!$D$10,2)),IF(A21=Лист1!$D$10,G20,ROUND(PMT(Лист1!$D$24/12,Лист1!$D$10,-Лист1!$D$9)-F21,2))),0)</f>
        <v>277.77999999999997</v>
      </c>
      <c r="E21" s="50">
        <f>IF(A21&lt;=Лист1!$D$10,IF(OR(Лист1!$D$21="Тариф 1",Лист1!$D$21="Тариф 2",Лист1!$D$21="Тариф 3"),ROUND(Лист1!$D$9*Лист1!$D$22,2),0),0)</f>
        <v>350</v>
      </c>
      <c r="F21" s="50">
        <f>IF(OR(Лист1!$D$21="Тариф 1",Лист1!$D$21="Тариф 2",Лист1!$D$21="Тариф 3"),0,IF(A21&lt;=Лист1!$D$10,ROUND(G20*Лист1!$D$24/365,2)*(B21-B20),0))</f>
        <v>0</v>
      </c>
      <c r="G21" s="51">
        <f>IF(A21&lt;=Лист1!$D$10,ROUND(G20-D21,2),0)</f>
        <v>4722.18</v>
      </c>
      <c r="H21" s="38"/>
      <c r="I21" s="1"/>
      <c r="K21" s="43"/>
      <c r="L21" s="43"/>
    </row>
    <row r="22" spans="1:12" x14ac:dyDescent="0.3">
      <c r="A22" s="33">
        <v>20</v>
      </c>
      <c r="B22" s="37">
        <f t="shared" si="0"/>
        <v>46813</v>
      </c>
      <c r="C22" s="23">
        <f>IF(A22&lt;=Лист1!$D$10,D22+E22+F22,0)</f>
        <v>627.78</v>
      </c>
      <c r="D22" s="50">
        <f>IF(A22&lt;=Лист1!$D$10,IF(OR(Лист1!$D$21="Тариф 1",Лист1!$D$21="Тариф 2",Лист1!$D$21="Тариф 3"),IF(A22=Лист1!$D$10,G21,ROUND(Лист1!$D$9/Лист1!$D$10,2)),IF(A22=Лист1!$D$10,G21,ROUND(PMT(Лист1!$D$24/12,Лист1!$D$10,-Лист1!$D$9)-F22,2))),0)</f>
        <v>277.77999999999997</v>
      </c>
      <c r="E22" s="50">
        <f>IF(A22&lt;=Лист1!$D$10,IF(OR(Лист1!$D$21="Тариф 1",Лист1!$D$21="Тариф 2",Лист1!$D$21="Тариф 3"),ROUND(Лист1!$D$9*Лист1!$D$22,2),0),0)</f>
        <v>350</v>
      </c>
      <c r="F22" s="50">
        <f>IF(OR(Лист1!$D$21="Тариф 1",Лист1!$D$21="Тариф 2",Лист1!$D$21="Тариф 3"),0,IF(A22&lt;=Лист1!$D$10,ROUND(G21*Лист1!$D$24/365,2)*(B22-B21),0))</f>
        <v>0</v>
      </c>
      <c r="G22" s="51">
        <f>IF(A22&lt;=Лист1!$D$10,ROUND(G21-D22,2),0)</f>
        <v>4444.3999999999996</v>
      </c>
      <c r="H22" s="38"/>
      <c r="I22" s="1"/>
      <c r="K22" s="43"/>
      <c r="L22" s="43"/>
    </row>
    <row r="23" spans="1:12" x14ac:dyDescent="0.3">
      <c r="A23" s="33">
        <v>21</v>
      </c>
      <c r="B23" s="37">
        <f t="shared" si="0"/>
        <v>46844</v>
      </c>
      <c r="C23" s="23">
        <f>IF(A23&lt;=Лист1!$D$10,D23+E23+F23,0)</f>
        <v>627.78</v>
      </c>
      <c r="D23" s="50">
        <f>IF(A23&lt;=Лист1!$D$10,IF(OR(Лист1!$D$21="Тариф 1",Лист1!$D$21="Тариф 2",Лист1!$D$21="Тариф 3"),IF(A23=Лист1!$D$10,G22,ROUND(Лист1!$D$9/Лист1!$D$10,2)),IF(A23=Лист1!$D$10,G22,ROUND(PMT(Лист1!$D$24/12,Лист1!$D$10,-Лист1!$D$9)-F23,2))),0)</f>
        <v>277.77999999999997</v>
      </c>
      <c r="E23" s="50">
        <f>IF(A23&lt;=Лист1!$D$10,IF(OR(Лист1!$D$21="Тариф 1",Лист1!$D$21="Тариф 2",Лист1!$D$21="Тариф 3"),ROUND(Лист1!$D$9*Лист1!$D$22,2),0),0)</f>
        <v>350</v>
      </c>
      <c r="F23" s="50">
        <f>IF(OR(Лист1!$D$21="Тариф 1",Лист1!$D$21="Тариф 2",Лист1!$D$21="Тариф 3"),0,IF(A23&lt;=Лист1!$D$10,ROUND(G22*Лист1!$D$24/365,2)*(B23-B22),0))</f>
        <v>0</v>
      </c>
      <c r="G23" s="51">
        <f>IF(A23&lt;=Лист1!$D$10,ROUND(G22-D23,2),0)</f>
        <v>4166.62</v>
      </c>
      <c r="H23" s="38"/>
      <c r="I23" s="1"/>
      <c r="K23" s="43"/>
      <c r="L23" s="43"/>
    </row>
    <row r="24" spans="1:12" x14ac:dyDescent="0.3">
      <c r="A24" s="33">
        <v>22</v>
      </c>
      <c r="B24" s="37">
        <f t="shared" si="0"/>
        <v>46874</v>
      </c>
      <c r="C24" s="23">
        <f>IF(A24&lt;=Лист1!$D$10,D24+E24+F24,0)</f>
        <v>627.78</v>
      </c>
      <c r="D24" s="50">
        <f>IF(A24&lt;=Лист1!$D$10,IF(OR(Лист1!$D$21="Тариф 1",Лист1!$D$21="Тариф 2",Лист1!$D$21="Тариф 3"),IF(A24=Лист1!$D$10,G23,ROUND(Лист1!$D$9/Лист1!$D$10,2)),IF(A24=Лист1!$D$10,G23,ROUND(PMT(Лист1!$D$24/12,Лист1!$D$10,-Лист1!$D$9)-F24,2))),0)</f>
        <v>277.77999999999997</v>
      </c>
      <c r="E24" s="50">
        <f>IF(A24&lt;=Лист1!$D$10,IF(OR(Лист1!$D$21="Тариф 1",Лист1!$D$21="Тариф 2",Лист1!$D$21="Тариф 3"),ROUND(Лист1!$D$9*Лист1!$D$22,2),0),0)</f>
        <v>350</v>
      </c>
      <c r="F24" s="50">
        <f>IF(OR(Лист1!$D$21="Тариф 1",Лист1!$D$21="Тариф 2",Лист1!$D$21="Тариф 3"),0,IF(A24&lt;=Лист1!$D$10,ROUND(G23*Лист1!$D$24/365,2)*(B24-B23),0))</f>
        <v>0</v>
      </c>
      <c r="G24" s="51">
        <f>IF(A24&lt;=Лист1!$D$10,ROUND(G23-D24,2),0)</f>
        <v>3888.84</v>
      </c>
      <c r="H24" s="38"/>
      <c r="I24" s="1"/>
      <c r="K24" s="43"/>
      <c r="L24" s="43"/>
    </row>
    <row r="25" spans="1:12" x14ac:dyDescent="0.3">
      <c r="A25" s="33">
        <v>23</v>
      </c>
      <c r="B25" s="37">
        <f t="shared" si="0"/>
        <v>46905</v>
      </c>
      <c r="C25" s="23">
        <f>IF(A25&lt;=Лист1!$D$10,D25+E25+F25,0)</f>
        <v>627.78</v>
      </c>
      <c r="D25" s="50">
        <f>IF(A25&lt;=Лист1!$D$10,IF(OR(Лист1!$D$21="Тариф 1",Лист1!$D$21="Тариф 2",Лист1!$D$21="Тариф 3"),IF(A25=Лист1!$D$10,G24,ROUND(Лист1!$D$9/Лист1!$D$10,2)),IF(A25=Лист1!$D$10,G24,ROUND(PMT(Лист1!$D$24/12,Лист1!$D$10,-Лист1!$D$9)-F25,2))),0)</f>
        <v>277.77999999999997</v>
      </c>
      <c r="E25" s="50">
        <f>IF(A25&lt;=Лист1!$D$10,IF(OR(Лист1!$D$21="Тариф 1",Лист1!$D$21="Тариф 2",Лист1!$D$21="Тариф 3"),ROUND(Лист1!$D$9*Лист1!$D$22,2),0),0)</f>
        <v>350</v>
      </c>
      <c r="F25" s="50">
        <f>IF(OR(Лист1!$D$21="Тариф 1",Лист1!$D$21="Тариф 2",Лист1!$D$21="Тариф 3"),0,IF(A25&lt;=Лист1!$D$10,ROUND(G24*Лист1!$D$24/365,2)*(B25-B24),0))</f>
        <v>0</v>
      </c>
      <c r="G25" s="51">
        <f>IF(A25&lt;=Лист1!$D$10,ROUND(G24-D25,2),0)</f>
        <v>3611.06</v>
      </c>
      <c r="H25" s="38"/>
      <c r="I25" s="1"/>
      <c r="K25" s="43"/>
      <c r="L25" s="43"/>
    </row>
    <row r="26" spans="1:12" x14ac:dyDescent="0.3">
      <c r="A26" s="33">
        <v>24</v>
      </c>
      <c r="B26" s="37">
        <f t="shared" si="0"/>
        <v>46935</v>
      </c>
      <c r="C26" s="23">
        <f>IF(A26&lt;=Лист1!$D$10,D26+E26+F26,0)</f>
        <v>627.78</v>
      </c>
      <c r="D26" s="50">
        <f>IF(A26&lt;=Лист1!$D$10,IF(OR(Лист1!$D$21="Тариф 1",Лист1!$D$21="Тариф 2",Лист1!$D$21="Тариф 3"),IF(A26=Лист1!$D$10,G25,ROUND(Лист1!$D$9/Лист1!$D$10,2)),IF(A26=Лист1!$D$10,G25,ROUND(PMT(Лист1!$D$24/12,Лист1!$D$10,-Лист1!$D$9)-F26,2))),0)</f>
        <v>277.77999999999997</v>
      </c>
      <c r="E26" s="50">
        <f>IF(A26&lt;=Лист1!$D$10,IF(OR(Лист1!$D$21="Тариф 1",Лист1!$D$21="Тариф 2",Лист1!$D$21="Тариф 3"),ROUND(Лист1!$D$9*Лист1!$D$22,2),0),0)</f>
        <v>350</v>
      </c>
      <c r="F26" s="50">
        <f>IF(OR(Лист1!$D$21="Тариф 1",Лист1!$D$21="Тариф 2",Лист1!$D$21="Тариф 3"),0,IF(A26&lt;=Лист1!$D$10,ROUND(G25*Лист1!$D$24/365,2)*(B26-B25),0))</f>
        <v>0</v>
      </c>
      <c r="G26" s="51">
        <f>IF(A26&lt;=Лист1!$D$10,ROUND(G25-D26,2),0)</f>
        <v>3333.28</v>
      </c>
      <c r="H26" s="38"/>
      <c r="I26" s="1"/>
      <c r="K26" s="43"/>
      <c r="L26" s="43"/>
    </row>
    <row r="27" spans="1:12" x14ac:dyDescent="0.3">
      <c r="A27" s="33">
        <v>25</v>
      </c>
      <c r="B27" s="37">
        <f t="shared" si="0"/>
        <v>46966</v>
      </c>
      <c r="C27" s="23">
        <f>IF(A27&lt;=Лист1!$D$10,D27+E27+F27,0)</f>
        <v>627.78</v>
      </c>
      <c r="D27" s="50">
        <f>IF(A27&lt;=Лист1!$D$10,IF(OR(Лист1!$D$21="Тариф 1",Лист1!$D$21="Тариф 2",Лист1!$D$21="Тариф 3"),IF(A27=Лист1!$D$10,G26,ROUND(Лист1!$D$9/Лист1!$D$10,2)),IF(A27=Лист1!$D$10,G26,ROUND(PMT(Лист1!$D$24/12,Лист1!$D$10,-Лист1!$D$9)-F27,2))),0)</f>
        <v>277.77999999999997</v>
      </c>
      <c r="E27" s="50">
        <f>IF(A27&lt;=Лист1!$D$10,IF(OR(Лист1!$D$21="Тариф 1",Лист1!$D$21="Тариф 2",Лист1!$D$21="Тариф 3"),ROUND(Лист1!$D$9*Лист1!$D$22,2),0),0)</f>
        <v>350</v>
      </c>
      <c r="F27" s="50">
        <f>IF(OR(Лист1!$D$21="Тариф 1",Лист1!$D$21="Тариф 2",Лист1!$D$21="Тариф 3"),0,IF(A27&lt;=Лист1!$D$10,ROUND(G26*Лист1!$D$24/365,2)*(B27-B26),0))</f>
        <v>0</v>
      </c>
      <c r="G27" s="51">
        <f>IF(A27&lt;=Лист1!$D$10,ROUND(G26-D27,2),0)</f>
        <v>3055.5</v>
      </c>
      <c r="H27" s="38"/>
      <c r="I27" s="1"/>
      <c r="K27" s="43"/>
      <c r="L27" s="43"/>
    </row>
    <row r="28" spans="1:12" x14ac:dyDescent="0.3">
      <c r="A28" s="33">
        <v>26</v>
      </c>
      <c r="B28" s="37">
        <f t="shared" si="0"/>
        <v>46997</v>
      </c>
      <c r="C28" s="23">
        <f>IF(A28&lt;=Лист1!$D$10,D28+E28+F28,0)</f>
        <v>627.78</v>
      </c>
      <c r="D28" s="50">
        <f>IF(A28&lt;=Лист1!$D$10,IF(OR(Лист1!$D$21="Тариф 1",Лист1!$D$21="Тариф 2",Лист1!$D$21="Тариф 3"),IF(A28=Лист1!$D$10,G27,ROUND(Лист1!$D$9/Лист1!$D$10,2)),IF(A28=Лист1!$D$10,G27,ROUND(PMT(Лист1!$D$24/12,Лист1!$D$10,-Лист1!$D$9)-F28,2))),0)</f>
        <v>277.77999999999997</v>
      </c>
      <c r="E28" s="50">
        <f>IF(A28&lt;=Лист1!$D$10,IF(OR(Лист1!$D$21="Тариф 1",Лист1!$D$21="Тариф 2",Лист1!$D$21="Тариф 3"),ROUND(Лист1!$D$9*Лист1!$D$22,2),0),0)</f>
        <v>350</v>
      </c>
      <c r="F28" s="50">
        <f>IF(OR(Лист1!$D$21="Тариф 1",Лист1!$D$21="Тариф 2",Лист1!$D$21="Тариф 3"),0,IF(A28&lt;=Лист1!$D$10,ROUND(G27*Лист1!$D$24/365,2)*(B28-B27),0))</f>
        <v>0</v>
      </c>
      <c r="G28" s="51">
        <f>IF(A28&lt;=Лист1!$D$10,ROUND(G27-D28,2),0)</f>
        <v>2777.72</v>
      </c>
      <c r="H28" s="38"/>
      <c r="I28" s="1"/>
      <c r="K28" s="43"/>
      <c r="L28" s="43"/>
    </row>
    <row r="29" spans="1:12" x14ac:dyDescent="0.3">
      <c r="A29" s="33">
        <v>27</v>
      </c>
      <c r="B29" s="37">
        <f t="shared" si="0"/>
        <v>47027</v>
      </c>
      <c r="C29" s="23">
        <f>IF(A29&lt;=Лист1!$D$10,D29+E29+F29,0)</f>
        <v>627.78</v>
      </c>
      <c r="D29" s="50">
        <f>IF(A29&lt;=Лист1!$D$10,IF(OR(Лист1!$D$21="Тариф 1",Лист1!$D$21="Тариф 2",Лист1!$D$21="Тариф 3"),IF(A29=Лист1!$D$10,G28,ROUND(Лист1!$D$9/Лист1!$D$10,2)),IF(A29=Лист1!$D$10,G28,ROUND(PMT(Лист1!$D$24/12,Лист1!$D$10,-Лист1!$D$9)-F29,2))),0)</f>
        <v>277.77999999999997</v>
      </c>
      <c r="E29" s="50">
        <f>IF(A29&lt;=Лист1!$D$10,IF(OR(Лист1!$D$21="Тариф 1",Лист1!$D$21="Тариф 2",Лист1!$D$21="Тариф 3"),ROUND(Лист1!$D$9*Лист1!$D$22,2),0),0)</f>
        <v>350</v>
      </c>
      <c r="F29" s="50">
        <f>IF(OR(Лист1!$D$21="Тариф 1",Лист1!$D$21="Тариф 2",Лист1!$D$21="Тариф 3"),0,IF(A29&lt;=Лист1!$D$10,ROUND(G28*Лист1!$D$24/365,2)*(B29-B28),0))</f>
        <v>0</v>
      </c>
      <c r="G29" s="51">
        <f>IF(A29&lt;=Лист1!$D$10,ROUND(G28-D29,2),0)</f>
        <v>2499.94</v>
      </c>
      <c r="H29" s="38"/>
      <c r="I29" s="1"/>
      <c r="K29" s="43"/>
      <c r="L29" s="43"/>
    </row>
    <row r="30" spans="1:12" x14ac:dyDescent="0.3">
      <c r="A30" s="33">
        <v>28</v>
      </c>
      <c r="B30" s="37">
        <f t="shared" si="0"/>
        <v>47058</v>
      </c>
      <c r="C30" s="23">
        <f>IF(A30&lt;=Лист1!$D$10,D30+E30+F30,0)</f>
        <v>627.78</v>
      </c>
      <c r="D30" s="50">
        <f>IF(A30&lt;=Лист1!$D$10,IF(OR(Лист1!$D$21="Тариф 1",Лист1!$D$21="Тариф 2",Лист1!$D$21="Тариф 3"),IF(A30=Лист1!$D$10,G29,ROUND(Лист1!$D$9/Лист1!$D$10,2)),IF(A30=Лист1!$D$10,G29,ROUND(PMT(Лист1!$D$24/12,Лист1!$D$10,-Лист1!$D$9)-F30,2))),0)</f>
        <v>277.77999999999997</v>
      </c>
      <c r="E30" s="50">
        <f>IF(A30&lt;=Лист1!$D$10,IF(OR(Лист1!$D$21="Тариф 1",Лист1!$D$21="Тариф 2",Лист1!$D$21="Тариф 3"),ROUND(Лист1!$D$9*Лист1!$D$22,2),0),0)</f>
        <v>350</v>
      </c>
      <c r="F30" s="50">
        <f>IF(OR(Лист1!$D$21="Тариф 1",Лист1!$D$21="Тариф 2",Лист1!$D$21="Тариф 3"),0,IF(A30&lt;=Лист1!$D$10,ROUND(G29*Лист1!$D$24/365,2)*(B30-B29),0))</f>
        <v>0</v>
      </c>
      <c r="G30" s="51">
        <f>IF(A30&lt;=Лист1!$D$10,ROUND(G29-D30,2),0)</f>
        <v>2222.16</v>
      </c>
      <c r="H30" s="38"/>
      <c r="I30" s="1"/>
      <c r="K30" s="43"/>
      <c r="L30" s="43"/>
    </row>
    <row r="31" spans="1:12" x14ac:dyDescent="0.3">
      <c r="A31" s="33">
        <v>29</v>
      </c>
      <c r="B31" s="37">
        <f t="shared" si="0"/>
        <v>47088</v>
      </c>
      <c r="C31" s="23">
        <f>IF(A31&lt;=Лист1!$D$10,D31+E31+F31,0)</f>
        <v>627.78</v>
      </c>
      <c r="D31" s="50">
        <f>IF(A31&lt;=Лист1!$D$10,IF(OR(Лист1!$D$21="Тариф 1",Лист1!$D$21="Тариф 2",Лист1!$D$21="Тариф 3"),IF(A31=Лист1!$D$10,G30,ROUND(Лист1!$D$9/Лист1!$D$10,2)),IF(A31=Лист1!$D$10,G30,ROUND(PMT(Лист1!$D$24/12,Лист1!$D$10,-Лист1!$D$9)-F31,2))),0)</f>
        <v>277.77999999999997</v>
      </c>
      <c r="E31" s="50">
        <f>IF(A31&lt;=Лист1!$D$10,IF(OR(Лист1!$D$21="Тариф 1",Лист1!$D$21="Тариф 2",Лист1!$D$21="Тариф 3"),ROUND(Лист1!$D$9*Лист1!$D$22,2),0),0)</f>
        <v>350</v>
      </c>
      <c r="F31" s="50">
        <f>IF(OR(Лист1!$D$21="Тариф 1",Лист1!$D$21="Тариф 2",Лист1!$D$21="Тариф 3"),0,IF(A31&lt;=Лист1!$D$10,ROUND(G30*Лист1!$D$24/365,2)*(B31-B30),0))</f>
        <v>0</v>
      </c>
      <c r="G31" s="51">
        <f>IF(A31&lt;=Лист1!$D$10,ROUND(G30-D31,2),0)</f>
        <v>1944.38</v>
      </c>
      <c r="H31" s="38"/>
      <c r="I31" s="1"/>
      <c r="K31" s="43"/>
      <c r="L31" s="43"/>
    </row>
    <row r="32" spans="1:12" x14ac:dyDescent="0.3">
      <c r="A32" s="33">
        <v>30</v>
      </c>
      <c r="B32" s="37">
        <f t="shared" si="0"/>
        <v>47119</v>
      </c>
      <c r="C32" s="23">
        <f>IF(A32&lt;=Лист1!$D$10,D32+E32+F32,0)</f>
        <v>627.78</v>
      </c>
      <c r="D32" s="50">
        <f>IF(A32&lt;=Лист1!$D$10,IF(OR(Лист1!$D$21="Тариф 1",Лист1!$D$21="Тариф 2",Лист1!$D$21="Тариф 3"),IF(A32=Лист1!$D$10,G31,ROUND(Лист1!$D$9/Лист1!$D$10,2)),IF(A32=Лист1!$D$10,G31,ROUND(PMT(Лист1!$D$24/12,Лист1!$D$10,-Лист1!$D$9)-F32,2))),0)</f>
        <v>277.77999999999997</v>
      </c>
      <c r="E32" s="50">
        <f>IF(A32&lt;=Лист1!$D$10,IF(OR(Лист1!$D$21="Тариф 1",Лист1!$D$21="Тариф 2",Лист1!$D$21="Тариф 3"),ROUND(Лист1!$D$9*Лист1!$D$22,2),0),0)</f>
        <v>350</v>
      </c>
      <c r="F32" s="50">
        <f>IF(OR(Лист1!$D$21="Тариф 1",Лист1!$D$21="Тариф 2",Лист1!$D$21="Тариф 3"),0,IF(A32&lt;=Лист1!$D$10,ROUND(G31*Лист1!$D$24/365,2)*(B32-B31),0))</f>
        <v>0</v>
      </c>
      <c r="G32" s="51">
        <f>IF(A32&lt;=Лист1!$D$10,ROUND(G31-D32,2),0)</f>
        <v>1666.6</v>
      </c>
      <c r="H32" s="38"/>
      <c r="I32" s="1"/>
      <c r="K32" s="43"/>
      <c r="L32" s="43"/>
    </row>
    <row r="33" spans="1:12" x14ac:dyDescent="0.3">
      <c r="A33" s="33">
        <v>31</v>
      </c>
      <c r="B33" s="37">
        <f t="shared" si="0"/>
        <v>47150</v>
      </c>
      <c r="C33" s="23">
        <f>IF(A33&lt;=Лист1!$D$10,D33+E33+F33,0)</f>
        <v>627.78</v>
      </c>
      <c r="D33" s="50">
        <f>IF(A33&lt;=Лист1!$D$10,IF(OR(Лист1!$D$21="Тариф 1",Лист1!$D$21="Тариф 2",Лист1!$D$21="Тариф 3"),IF(A33=Лист1!$D$10,G32,ROUND(Лист1!$D$9/Лист1!$D$10,2)),IF(A33=Лист1!$D$10,G32,ROUND(PMT(Лист1!$D$24/12,Лист1!$D$10,-Лист1!$D$9)-F33,2))),0)</f>
        <v>277.77999999999997</v>
      </c>
      <c r="E33" s="50">
        <f>IF(A33&lt;=Лист1!$D$10,IF(OR(Лист1!$D$21="Тариф 1",Лист1!$D$21="Тариф 2",Лист1!$D$21="Тариф 3"),ROUND(Лист1!$D$9*Лист1!$D$22,2),0),0)</f>
        <v>350</v>
      </c>
      <c r="F33" s="50">
        <f>IF(OR(Лист1!$D$21="Тариф 1",Лист1!$D$21="Тариф 2",Лист1!$D$21="Тариф 3"),0,IF(A33&lt;=Лист1!$D$10,ROUND(G32*Лист1!$D$24/365,2)*(B33-B32),0))</f>
        <v>0</v>
      </c>
      <c r="G33" s="51">
        <f>IF(A33&lt;=Лист1!$D$10,ROUND(G32-D33,2),0)</f>
        <v>1388.82</v>
      </c>
      <c r="H33" s="38"/>
      <c r="I33" s="1"/>
      <c r="K33" s="43"/>
      <c r="L33" s="43"/>
    </row>
    <row r="34" spans="1:12" x14ac:dyDescent="0.3">
      <c r="A34" s="33">
        <v>32</v>
      </c>
      <c r="B34" s="37">
        <f t="shared" si="0"/>
        <v>47178</v>
      </c>
      <c r="C34" s="23">
        <f>IF(A34&lt;=Лист1!$D$10,D34+E34+F34,0)</f>
        <v>627.78</v>
      </c>
      <c r="D34" s="50">
        <f>IF(A34&lt;=Лист1!$D$10,IF(OR(Лист1!$D$21="Тариф 1",Лист1!$D$21="Тариф 2",Лист1!$D$21="Тариф 3"),IF(A34=Лист1!$D$10,G33,ROUND(Лист1!$D$9/Лист1!$D$10,2)),IF(A34=Лист1!$D$10,G33,ROUND(PMT(Лист1!$D$24/12,Лист1!$D$10,-Лист1!$D$9)-F34,2))),0)</f>
        <v>277.77999999999997</v>
      </c>
      <c r="E34" s="50">
        <f>IF(A34&lt;=Лист1!$D$10,IF(OR(Лист1!$D$21="Тариф 1",Лист1!$D$21="Тариф 2",Лист1!$D$21="Тариф 3"),ROUND(Лист1!$D$9*Лист1!$D$22,2),0),0)</f>
        <v>350</v>
      </c>
      <c r="F34" s="50">
        <f>IF(OR(Лист1!$D$21="Тариф 1",Лист1!$D$21="Тариф 2",Лист1!$D$21="Тариф 3"),0,IF(A34&lt;=Лист1!$D$10,ROUND(G33*Лист1!$D$24/365,2)*(B34-B33),0))</f>
        <v>0</v>
      </c>
      <c r="G34" s="51">
        <f>IF(A34&lt;=Лист1!$D$10,ROUND(G33-D34,2),0)</f>
        <v>1111.04</v>
      </c>
      <c r="H34" s="38"/>
      <c r="I34" s="1"/>
      <c r="K34" s="43"/>
      <c r="L34" s="43"/>
    </row>
    <row r="35" spans="1:12" x14ac:dyDescent="0.3">
      <c r="A35" s="33">
        <v>33</v>
      </c>
      <c r="B35" s="37">
        <f t="shared" si="0"/>
        <v>47209</v>
      </c>
      <c r="C35" s="23">
        <f>IF(A35&lt;=Лист1!$D$10,D35+E35+F35,0)</f>
        <v>627.78</v>
      </c>
      <c r="D35" s="50">
        <f>IF(A35&lt;=Лист1!$D$10,IF(OR(Лист1!$D$21="Тариф 1",Лист1!$D$21="Тариф 2",Лист1!$D$21="Тариф 3"),IF(A35=Лист1!$D$10,G34,ROUND(Лист1!$D$9/Лист1!$D$10,2)),IF(A35=Лист1!$D$10,G34,ROUND(PMT(Лист1!$D$24/12,Лист1!$D$10,-Лист1!$D$9)-F35,2))),0)</f>
        <v>277.77999999999997</v>
      </c>
      <c r="E35" s="50">
        <f>IF(A35&lt;=Лист1!$D$10,IF(OR(Лист1!$D$21="Тариф 1",Лист1!$D$21="Тариф 2",Лист1!$D$21="Тариф 3"),ROUND(Лист1!$D$9*Лист1!$D$22,2),0),0)</f>
        <v>350</v>
      </c>
      <c r="F35" s="50">
        <f>IF(OR(Лист1!$D$21="Тариф 1",Лист1!$D$21="Тариф 2",Лист1!$D$21="Тариф 3"),0,IF(A35&lt;=Лист1!$D$10,ROUND(G34*Лист1!$D$24/365,2)*(B35-B34),0))</f>
        <v>0</v>
      </c>
      <c r="G35" s="51">
        <f>IF(A35&lt;=Лист1!$D$10,ROUND(G34-D35,2),0)</f>
        <v>833.26</v>
      </c>
      <c r="H35" s="38"/>
      <c r="I35" s="1"/>
      <c r="K35" s="43"/>
      <c r="L35" s="43"/>
    </row>
    <row r="36" spans="1:12" x14ac:dyDescent="0.3">
      <c r="A36" s="33">
        <v>34</v>
      </c>
      <c r="B36" s="37">
        <f t="shared" si="0"/>
        <v>47239</v>
      </c>
      <c r="C36" s="23">
        <f>IF(A36&lt;=Лист1!$D$10,D36+E36+F36,0)</f>
        <v>627.78</v>
      </c>
      <c r="D36" s="50">
        <f>IF(A36&lt;=Лист1!$D$10,IF(OR(Лист1!$D$21="Тариф 1",Лист1!$D$21="Тариф 2",Лист1!$D$21="Тариф 3"),IF(A36=Лист1!$D$10,G35,ROUND(Лист1!$D$9/Лист1!$D$10,2)),IF(A36=Лист1!$D$10,G35,ROUND(PMT(Лист1!$D$24/12,Лист1!$D$10,-Лист1!$D$9)-F36,2))),0)</f>
        <v>277.77999999999997</v>
      </c>
      <c r="E36" s="50">
        <f>IF(A36&lt;=Лист1!$D$10,IF(OR(Лист1!$D$21="Тариф 1",Лист1!$D$21="Тариф 2",Лист1!$D$21="Тариф 3"),ROUND(Лист1!$D$9*Лист1!$D$22,2),0),0)</f>
        <v>350</v>
      </c>
      <c r="F36" s="50">
        <f>IF(OR(Лист1!$D$21="Тариф 1",Лист1!$D$21="Тариф 2",Лист1!$D$21="Тариф 3"),0,IF(A36&lt;=Лист1!$D$10,ROUND(G35*Лист1!$D$24/365,2)*(B36-B35),0))</f>
        <v>0</v>
      </c>
      <c r="G36" s="51">
        <f>IF(A36&lt;=Лист1!$D$10,ROUND(G35-D36,2),0)</f>
        <v>555.48</v>
      </c>
      <c r="H36" s="38"/>
      <c r="I36" s="1"/>
      <c r="K36" s="43"/>
      <c r="L36" s="43"/>
    </row>
    <row r="37" spans="1:12" x14ac:dyDescent="0.3">
      <c r="A37" s="33">
        <v>35</v>
      </c>
      <c r="B37" s="37">
        <f t="shared" si="0"/>
        <v>47270</v>
      </c>
      <c r="C37" s="23">
        <f>IF(A37&lt;=Лист1!$D$10,D37+E37+F37,0)</f>
        <v>627.78</v>
      </c>
      <c r="D37" s="50">
        <f>IF(A37&lt;=Лист1!$D$10,IF(OR(Лист1!$D$21="Тариф 1",Лист1!$D$21="Тариф 2",Лист1!$D$21="Тариф 3"),IF(A37=Лист1!$D$10,G36,ROUND(Лист1!$D$9/Лист1!$D$10,2)),IF(A37=Лист1!$D$10,G36,ROUND(PMT(Лист1!$D$24/12,Лист1!$D$10,-Лист1!$D$9)-F37,2))),0)</f>
        <v>277.77999999999997</v>
      </c>
      <c r="E37" s="50">
        <f>IF(A37&lt;=Лист1!$D$10,IF(OR(Лист1!$D$21="Тариф 1",Лист1!$D$21="Тариф 2",Лист1!$D$21="Тариф 3"),ROUND(Лист1!$D$9*Лист1!$D$22,2),0),0)</f>
        <v>350</v>
      </c>
      <c r="F37" s="50">
        <f>IF(OR(Лист1!$D$21="Тариф 1",Лист1!$D$21="Тариф 2",Лист1!$D$21="Тариф 3"),0,IF(A37&lt;=Лист1!$D$10,ROUND(G36*Лист1!$D$24/365,2)*(B37-B36),0))</f>
        <v>0</v>
      </c>
      <c r="G37" s="51">
        <f>IF(A37&lt;=Лист1!$D$10,ROUND(G36-D37,2),0)</f>
        <v>277.7</v>
      </c>
      <c r="H37" s="38"/>
      <c r="I37" s="1"/>
      <c r="K37" s="43"/>
      <c r="L37" s="43"/>
    </row>
    <row r="38" spans="1:12" x14ac:dyDescent="0.3">
      <c r="A38" s="33">
        <v>36</v>
      </c>
      <c r="B38" s="37">
        <f t="shared" si="0"/>
        <v>47300</v>
      </c>
      <c r="C38" s="23">
        <f>IF(A38&lt;=Лист1!$D$10,D38+E38+F38,0)</f>
        <v>627.70000000000005</v>
      </c>
      <c r="D38" s="50">
        <f>IF(A38&lt;=Лист1!$D$10,IF(OR(Лист1!$D$21="Тариф 1",Лист1!$D$21="Тариф 2",Лист1!$D$21="Тариф 3"),IF(A38=Лист1!$D$10,G37,ROUND(Лист1!$D$9/Лист1!$D$10,2)),IF(A38=Лист1!$D$10,G37,ROUND(PMT(Лист1!$D$24/12,Лист1!$D$10,-Лист1!$D$9)-F38,2))),0)</f>
        <v>277.7</v>
      </c>
      <c r="E38" s="50">
        <f>IF(A38&lt;=Лист1!$D$10,IF(OR(Лист1!$D$21="Тариф 1",Лист1!$D$21="Тариф 2",Лист1!$D$21="Тариф 3"),ROUND(Лист1!$D$9*Лист1!$D$22,2),0),0)</f>
        <v>350</v>
      </c>
      <c r="F38" s="50">
        <f>IF(OR(Лист1!$D$21="Тариф 1",Лист1!$D$21="Тариф 2",Лист1!$D$21="Тариф 3"),0,IF(A38&lt;=Лист1!$D$10,ROUND(G37*Лист1!$D$24/365,2)*(B38-B37),0))</f>
        <v>0</v>
      </c>
      <c r="G38" s="51">
        <f>IF(A38&lt;=Лист1!$D$10,ROUND(G37-D38,2),0)</f>
        <v>0</v>
      </c>
      <c r="H38" s="38"/>
      <c r="I38" s="1"/>
      <c r="K38" s="43"/>
      <c r="L38" s="43"/>
    </row>
    <row r="39" spans="1:12" x14ac:dyDescent="0.3">
      <c r="A39" s="33"/>
      <c r="B39" s="39" t="s">
        <v>38</v>
      </c>
      <c r="C39" s="24">
        <f>SUM(C3:C38)</f>
        <v>22599.999999999996</v>
      </c>
      <c r="D39" s="52">
        <f>SUM(D3:D38)</f>
        <v>9999.9999999999982</v>
      </c>
      <c r="E39" s="52">
        <f>SUM(E3:E38)</f>
        <v>12600</v>
      </c>
      <c r="F39" s="52">
        <f>SUM(F3:F38)</f>
        <v>0</v>
      </c>
      <c r="G39" s="53">
        <f>SUM(G3:G38)</f>
        <v>174998.60000000003</v>
      </c>
      <c r="H39" s="38"/>
      <c r="I39" s="1"/>
    </row>
    <row r="40" spans="1:12" x14ac:dyDescent="0.3">
      <c r="A40" s="33"/>
      <c r="B40" s="38" t="s">
        <v>39</v>
      </c>
      <c r="C40" s="40">
        <f>Лист1!D25</f>
        <v>0.85538457632064802</v>
      </c>
      <c r="D40" s="24"/>
      <c r="E40" s="24"/>
      <c r="F40" s="24"/>
      <c r="G40" s="35"/>
      <c r="H40" s="38"/>
      <c r="I40" s="1"/>
    </row>
    <row r="41" spans="1:12" x14ac:dyDescent="0.3">
      <c r="B41" s="1"/>
      <c r="C41" s="21"/>
      <c r="D41" s="1"/>
      <c r="E41" s="1"/>
      <c r="F41" s="1"/>
      <c r="G41" s="1"/>
      <c r="H41" s="1"/>
      <c r="I41" s="1"/>
    </row>
    <row r="42" spans="1:12" x14ac:dyDescent="0.3">
      <c r="B42" s="1"/>
      <c r="C42" s="1"/>
      <c r="D42" s="1"/>
      <c r="E42" s="1"/>
      <c r="F42" s="1"/>
      <c r="G42" s="1"/>
      <c r="H42" s="1"/>
      <c r="I42" s="1"/>
    </row>
    <row r="43" spans="1:12" x14ac:dyDescent="0.3">
      <c r="B43" s="1"/>
      <c r="C43" s="1"/>
      <c r="D43" s="1"/>
      <c r="E43" s="1"/>
      <c r="F43" s="1"/>
      <c r="G43" s="1"/>
      <c r="H43" s="1"/>
      <c r="I43" s="1"/>
    </row>
    <row r="44" spans="1:12" x14ac:dyDescent="0.3">
      <c r="B44" s="1"/>
      <c r="C44" s="1"/>
      <c r="D44" s="1"/>
      <c r="E44" s="1"/>
      <c r="F44" s="1"/>
      <c r="G44" s="1"/>
      <c r="H44" s="1"/>
      <c r="I44" s="1"/>
    </row>
    <row r="45" spans="1:12" x14ac:dyDescent="0.3">
      <c r="B45" s="1"/>
      <c r="C45" s="1"/>
      <c r="D45" s="1"/>
      <c r="E45" s="1"/>
      <c r="F45" s="1"/>
      <c r="G45" s="1"/>
      <c r="H45" s="1"/>
      <c r="I45" s="1"/>
    </row>
    <row r="46" spans="1:12" x14ac:dyDescent="0.3">
      <c r="B46" s="1"/>
      <c r="C46" s="1"/>
      <c r="D46" s="1"/>
      <c r="E46" s="1"/>
      <c r="F46" s="1"/>
      <c r="G46" s="1"/>
      <c r="H46" s="1"/>
      <c r="I46" s="1"/>
    </row>
    <row r="47" spans="1:12" x14ac:dyDescent="0.3">
      <c r="B47" s="1"/>
      <c r="C47" s="1"/>
      <c r="D47" s="1"/>
      <c r="E47" s="1"/>
      <c r="F47" s="1"/>
      <c r="G47" s="1"/>
      <c r="H47" s="1"/>
      <c r="I47" s="1"/>
    </row>
    <row r="48" spans="1:12" x14ac:dyDescent="0.3">
      <c r="B48" s="1"/>
      <c r="C48" s="1"/>
      <c r="D48" s="1"/>
      <c r="E48" s="1"/>
      <c r="F48" s="1"/>
      <c r="G48" s="1"/>
      <c r="H48" s="1"/>
      <c r="I48" s="1"/>
    </row>
    <row r="49" spans="2:9" x14ac:dyDescent="0.3">
      <c r="B49" s="1"/>
      <c r="C49" s="1"/>
      <c r="D49" s="1"/>
      <c r="E49" s="1"/>
      <c r="F49" s="1"/>
      <c r="G49" s="1"/>
      <c r="H49" s="1"/>
      <c r="I49" s="1"/>
    </row>
    <row r="50" spans="2:9" x14ac:dyDescent="0.3">
      <c r="B50" s="1"/>
      <c r="C50" s="1"/>
      <c r="D50" s="1"/>
      <c r="E50" s="1"/>
      <c r="F50" s="1"/>
      <c r="G50" s="1"/>
      <c r="H50" s="1"/>
      <c r="I50" s="1"/>
    </row>
    <row r="51" spans="2:9" x14ac:dyDescent="0.3">
      <c r="B51" s="1"/>
      <c r="C51" s="3" t="s">
        <v>47</v>
      </c>
      <c r="D51" s="1"/>
      <c r="E51" s="1"/>
      <c r="F51" s="1"/>
      <c r="G51" s="1"/>
      <c r="H51" s="1"/>
      <c r="I51" s="1"/>
    </row>
    <row r="52" spans="2:9" x14ac:dyDescent="0.3">
      <c r="B52" s="1"/>
      <c r="C52" s="1" t="s">
        <v>1</v>
      </c>
      <c r="D52" s="1"/>
      <c r="E52" s="1"/>
      <c r="F52" s="1"/>
      <c r="G52" s="1"/>
      <c r="H52" s="1"/>
      <c r="I52" s="1"/>
    </row>
    <row r="53" spans="2:9" x14ac:dyDescent="0.3">
      <c r="B53" s="1"/>
      <c r="C53" s="1"/>
      <c r="D53" s="1"/>
      <c r="E53" s="1"/>
      <c r="F53" s="1"/>
      <c r="G53" s="1"/>
      <c r="H53" s="2"/>
      <c r="I53" s="1"/>
    </row>
    <row r="54" spans="2:9" x14ac:dyDescent="0.3">
      <c r="B54" s="1"/>
      <c r="C54" s="1"/>
      <c r="D54" s="1"/>
      <c r="E54" s="1"/>
      <c r="F54" s="1"/>
      <c r="G54" s="1"/>
      <c r="H54" s="1"/>
      <c r="I54" s="1"/>
    </row>
    <row r="55" spans="2:9" x14ac:dyDescent="0.3">
      <c r="B55" s="1"/>
      <c r="C55" s="1"/>
      <c r="D55" s="1"/>
      <c r="E55" s="1"/>
      <c r="F55" s="1"/>
      <c r="G55" s="1"/>
      <c r="H55" s="1"/>
      <c r="I55" s="1"/>
    </row>
    <row r="56" spans="2:9" x14ac:dyDescent="0.3">
      <c r="B56" s="1"/>
      <c r="C56" s="1"/>
      <c r="D56" s="1"/>
      <c r="E56" s="1"/>
      <c r="F56" s="1"/>
      <c r="G56" s="1"/>
      <c r="H56" s="1"/>
      <c r="I56" s="1"/>
    </row>
    <row r="57" spans="2:9" x14ac:dyDescent="0.3">
      <c r="B57" s="1"/>
      <c r="C57" s="1"/>
      <c r="D57" s="1"/>
      <c r="E57" s="1"/>
      <c r="F57" s="1"/>
      <c r="G57" s="1"/>
      <c r="H57" s="1"/>
      <c r="I57" s="1"/>
    </row>
    <row r="58" spans="2:9" x14ac:dyDescent="0.3">
      <c r="B58" s="1"/>
      <c r="C58" s="1"/>
      <c r="D58" s="1"/>
      <c r="E58" s="1"/>
      <c r="F58" s="1"/>
      <c r="G58" s="1"/>
      <c r="H58" s="1"/>
      <c r="I58" s="1"/>
    </row>
    <row r="59" spans="2:9" x14ac:dyDescent="0.3">
      <c r="B59" s="1"/>
      <c r="C59" s="1"/>
      <c r="D59" s="1"/>
      <c r="E59" s="1"/>
      <c r="F59" s="1"/>
      <c r="G59" s="1"/>
      <c r="H59" s="1"/>
      <c r="I59" s="1"/>
    </row>
    <row r="60" spans="2:9" x14ac:dyDescent="0.3">
      <c r="B60" s="1"/>
      <c r="C60" s="1"/>
      <c r="D60" s="1"/>
      <c r="E60" s="1"/>
      <c r="F60" s="1"/>
      <c r="G60" s="1"/>
      <c r="H60" s="1"/>
      <c r="I60" s="1"/>
    </row>
    <row r="61" spans="2:9" x14ac:dyDescent="0.3">
      <c r="B61" s="1"/>
      <c r="C61" s="1"/>
      <c r="D61" s="1"/>
      <c r="E61" s="1"/>
      <c r="F61" s="1"/>
      <c r="G61" s="1"/>
      <c r="H61" s="1"/>
      <c r="I61" s="1"/>
    </row>
    <row r="62" spans="2:9" x14ac:dyDescent="0.3">
      <c r="B62" s="1"/>
      <c r="C62" s="1"/>
      <c r="D62" s="1"/>
      <c r="E62" s="1"/>
      <c r="F62" s="1"/>
      <c r="G62" s="1"/>
      <c r="H62" s="1"/>
      <c r="I62" s="1"/>
    </row>
    <row r="63" spans="2:9" x14ac:dyDescent="0.3">
      <c r="B63" s="1"/>
      <c r="C63" s="1"/>
      <c r="D63" s="1"/>
      <c r="E63" s="1"/>
      <c r="F63" s="1"/>
      <c r="G63" s="1"/>
      <c r="H63" s="1"/>
      <c r="I63" s="1"/>
    </row>
    <row r="64" spans="2:9" x14ac:dyDescent="0.3">
      <c r="B64" s="1"/>
      <c r="C64" s="1"/>
      <c r="D64" s="1"/>
      <c r="E64" s="1"/>
      <c r="F64" s="1"/>
      <c r="G64" s="1"/>
      <c r="H64" s="1"/>
      <c r="I64" s="1"/>
    </row>
    <row r="65" spans="2:9" x14ac:dyDescent="0.3">
      <c r="B65" s="1"/>
      <c r="C65" s="1"/>
      <c r="D65" s="1"/>
      <c r="E65" s="1"/>
      <c r="F65" s="1"/>
      <c r="G65" s="1"/>
      <c r="H65" s="1"/>
      <c r="I65" s="1"/>
    </row>
    <row r="66" spans="2:9" x14ac:dyDescent="0.3">
      <c r="B66" s="1"/>
      <c r="C66" s="1"/>
      <c r="D66" s="1"/>
      <c r="E66" s="1"/>
      <c r="F66" s="1"/>
      <c r="G66" s="1"/>
      <c r="H66" s="1"/>
      <c r="I66" s="1"/>
    </row>
    <row r="67" spans="2:9" x14ac:dyDescent="0.3">
      <c r="B67" s="1"/>
      <c r="C67" s="1"/>
      <c r="D67" s="1"/>
      <c r="E67" s="1"/>
      <c r="F67" s="1"/>
      <c r="G67" s="1"/>
      <c r="H67" s="1"/>
      <c r="I6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платежі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Юлія Вячеславівна</dc:creator>
  <cp:lastModifiedBy>Шевченко Юлія Вячеславівна</cp:lastModifiedBy>
  <dcterms:created xsi:type="dcterms:W3CDTF">2026-06-18T08:40:29Z</dcterms:created>
  <dcterms:modified xsi:type="dcterms:W3CDTF">2026-07-17T11:58:29Z</dcterms:modified>
</cp:coreProperties>
</file>