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novapayllc-my.sharepoint.com/personal/shevchenko_yu_novapay_ua/Documents/Робочий стіл/"/>
    </mc:Choice>
  </mc:AlternateContent>
  <xr:revisionPtr revIDLastSave="9" documentId="8_{611E9027-B79D-4971-B84A-9325D292D0B3}" xr6:coauthVersionLast="47" xr6:coauthVersionMax="47" xr10:uidLastSave="{9091D6FA-2F9A-4E58-BB8C-EAB67C074AFE}"/>
  <workbookProtection workbookAlgorithmName="SHA-512" workbookHashValue="AypS5X1icM8DhbWdvCZQ+t0S+SAyM7NXQObUQGIeaEqiZZiLMW/ftS4jAetek+mtAANKfS8/4VGExomSNW6XgQ==" workbookSaltValue="kJae7huDSnw1D48wZH6CYQ==" workbookSpinCount="100000" lockStructure="1"/>
  <bookViews>
    <workbookView xWindow="-108" yWindow="-108" windowWidth="23256" windowHeight="13896" xr2:uid="{00000000-000D-0000-FFFF-FFFF00000000}"/>
  </bookViews>
  <sheets>
    <sheet name="Лист1" sheetId="1" r:id="rId1"/>
    <sheet name="платежі" sheetId="2" r:id="rId2"/>
  </sheets>
  <definedNames>
    <definedName name="_xleta.SUM">#NAME?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sbZQQlKe59Ny5J/SyrNxgiaS4zOQ9Ln03sORJ1MyVkE="/>
    </ext>
  </extLst>
</workbook>
</file>

<file path=xl/calcChain.xml><?xml version="1.0" encoding="utf-8"?>
<calcChain xmlns="http://schemas.openxmlformats.org/spreadsheetml/2006/main">
  <c r="D20" i="1" l="1"/>
  <c r="G2" i="2" l="1"/>
  <c r="F2" i="2"/>
  <c r="E2" i="2"/>
  <c r="D2" i="2"/>
  <c r="C2" i="2"/>
  <c r="B2" i="2"/>
  <c r="D18" i="1"/>
  <c r="E3" i="2" s="1"/>
  <c r="D12" i="1"/>
  <c r="E17" i="2" l="1"/>
  <c r="E19" i="2"/>
  <c r="E20" i="2"/>
  <c r="E26" i="2"/>
  <c r="E27" i="2"/>
  <c r="E29" i="2"/>
  <c r="E23" i="2"/>
  <c r="E30" i="2"/>
  <c r="E32" i="2"/>
  <c r="E33" i="2"/>
  <c r="E15" i="2"/>
  <c r="E35" i="2"/>
  <c r="E16" i="2"/>
  <c r="E36" i="2"/>
  <c r="E22" i="2"/>
  <c r="E24" i="2"/>
  <c r="E4" i="2"/>
  <c r="E5" i="2"/>
  <c r="E6" i="2"/>
  <c r="E37" i="2"/>
  <c r="E18" i="2"/>
  <c r="E21" i="2"/>
  <c r="E34" i="2"/>
  <c r="E31" i="2"/>
  <c r="E38" i="2"/>
  <c r="E25" i="2"/>
  <c r="E28" i="2"/>
  <c r="E7" i="2"/>
  <c r="E8" i="2"/>
  <c r="E9" i="2"/>
  <c r="E10" i="2"/>
  <c r="E13" i="2"/>
  <c r="E11" i="2"/>
  <c r="E12" i="2"/>
  <c r="E14" i="2"/>
  <c r="B37" i="2"/>
  <c r="B35" i="2"/>
  <c r="B33" i="2"/>
  <c r="B31" i="2"/>
  <c r="B29" i="2"/>
  <c r="B27" i="2"/>
  <c r="B25" i="2"/>
  <c r="B23" i="2"/>
  <c r="B21" i="2"/>
  <c r="B19" i="2"/>
  <c r="B17" i="2"/>
  <c r="B15" i="2"/>
  <c r="B13" i="2"/>
  <c r="B11" i="2"/>
  <c r="B9" i="2"/>
  <c r="B7" i="2"/>
  <c r="B5" i="2"/>
  <c r="B3" i="2"/>
  <c r="B38" i="2"/>
  <c r="B36" i="2"/>
  <c r="B34" i="2"/>
  <c r="B32" i="2"/>
  <c r="B30" i="2"/>
  <c r="B28" i="2"/>
  <c r="B26" i="2"/>
  <c r="B24" i="2"/>
  <c r="B22" i="2"/>
  <c r="B20" i="2"/>
  <c r="B18" i="2"/>
  <c r="B16" i="2"/>
  <c r="B14" i="2"/>
  <c r="B12" i="2"/>
  <c r="B10" i="2"/>
  <c r="B8" i="2"/>
  <c r="B6" i="2"/>
  <c r="B4" i="2"/>
  <c r="D10" i="1"/>
  <c r="F3" i="2" l="1"/>
  <c r="D3" i="2" s="1"/>
  <c r="E39" i="2"/>
  <c r="C3" i="2" l="1"/>
  <c r="D8" i="1" s="1"/>
  <c r="D9" i="1"/>
  <c r="G3" i="2"/>
  <c r="F4" i="2" s="1"/>
  <c r="D4" i="2" l="1"/>
  <c r="C4" i="2" l="1"/>
  <c r="G4" i="2"/>
  <c r="F5" i="2" s="1"/>
  <c r="D5" i="2" l="1"/>
  <c r="C5" i="2" l="1"/>
  <c r="G5" i="2"/>
  <c r="F6" i="2" s="1"/>
  <c r="D6" i="2" l="1"/>
  <c r="C6" i="2" l="1"/>
  <c r="G6" i="2"/>
  <c r="F7" i="2" s="1"/>
  <c r="D7" i="2" l="1"/>
  <c r="C7" i="2" l="1"/>
  <c r="G7" i="2"/>
  <c r="F8" i="2" s="1"/>
  <c r="D8" i="2" l="1"/>
  <c r="C8" i="2" s="1"/>
  <c r="G8" i="2" l="1"/>
  <c r="F9" i="2" s="1"/>
  <c r="D9" i="2" l="1"/>
  <c r="C9" i="2" s="1"/>
  <c r="G9" i="2" l="1"/>
  <c r="F10" i="2" s="1"/>
  <c r="D10" i="2" l="1"/>
  <c r="C10" i="2" s="1"/>
  <c r="G10" i="2" l="1"/>
  <c r="F11" i="2" s="1"/>
  <c r="D11" i="2" l="1"/>
  <c r="C11" i="2" s="1"/>
  <c r="G11" i="2" l="1"/>
  <c r="F12" i="2" s="1"/>
  <c r="D12" i="2" l="1"/>
  <c r="C12" i="2" s="1"/>
  <c r="G12" i="2" l="1"/>
  <c r="F13" i="2" s="1"/>
  <c r="D13" i="2" l="1"/>
  <c r="C13" i="2" s="1"/>
  <c r="G13" i="2" l="1"/>
  <c r="F14" i="2" s="1"/>
  <c r="D14" i="2" l="1"/>
  <c r="C14" i="2" l="1"/>
  <c r="G14" i="2"/>
  <c r="F15" i="2" s="1"/>
  <c r="D15" i="2" l="1"/>
  <c r="C15" i="2" l="1"/>
  <c r="G15" i="2"/>
  <c r="F16" i="2" s="1"/>
  <c r="D16" i="2" l="1"/>
  <c r="C16" i="2" l="1"/>
  <c r="G16" i="2"/>
  <c r="F17" i="2" s="1"/>
  <c r="D17" i="2" l="1"/>
  <c r="C17" i="2" l="1"/>
  <c r="G17" i="2"/>
  <c r="F18" i="2" s="1"/>
  <c r="D18" i="2" l="1"/>
  <c r="C18" i="2" l="1"/>
  <c r="G18" i="2"/>
  <c r="F19" i="2" s="1"/>
  <c r="D19" i="2" l="1"/>
  <c r="C19" i="2" l="1"/>
  <c r="G19" i="2"/>
  <c r="F20" i="2" s="1"/>
  <c r="D20" i="2" l="1"/>
  <c r="C20" i="2" s="1"/>
  <c r="G20" i="2" l="1"/>
  <c r="F21" i="2" s="1"/>
  <c r="D21" i="2" l="1"/>
  <c r="C21" i="2" s="1"/>
  <c r="G21" i="2" l="1"/>
  <c r="F22" i="2" s="1"/>
  <c r="D22" i="2" l="1"/>
  <c r="C22" i="2" s="1"/>
  <c r="G22" i="2" l="1"/>
  <c r="F23" i="2" s="1"/>
  <c r="D23" i="2" l="1"/>
  <c r="C23" i="2" s="1"/>
  <c r="G23" i="2" l="1"/>
  <c r="F24" i="2" s="1"/>
  <c r="D24" i="2" l="1"/>
  <c r="C24" i="2" s="1"/>
  <c r="G24" i="2" l="1"/>
  <c r="F25" i="2" s="1"/>
  <c r="D25" i="2" l="1"/>
  <c r="C25" i="2" s="1"/>
  <c r="G25" i="2" l="1"/>
  <c r="F26" i="2" s="1"/>
  <c r="D26" i="2" l="1"/>
  <c r="C26" i="2" s="1"/>
  <c r="G26" i="2" l="1"/>
  <c r="F27" i="2" s="1"/>
  <c r="D27" i="2" l="1"/>
  <c r="C27" i="2" s="1"/>
  <c r="G27" i="2" l="1"/>
  <c r="F28" i="2" s="1"/>
  <c r="D28" i="2" l="1"/>
  <c r="C28" i="2" s="1"/>
  <c r="G28" i="2" l="1"/>
  <c r="F29" i="2" s="1"/>
  <c r="D29" i="2" l="1"/>
  <c r="C29" i="2" s="1"/>
  <c r="G29" i="2" l="1"/>
  <c r="F30" i="2" s="1"/>
  <c r="D30" i="2" l="1"/>
  <c r="C30" i="2" s="1"/>
  <c r="G30" i="2" l="1"/>
  <c r="F31" i="2" s="1"/>
  <c r="D31" i="2" l="1"/>
  <c r="C31" i="2" s="1"/>
  <c r="G31" i="2" l="1"/>
  <c r="F32" i="2" s="1"/>
  <c r="D32" i="2" l="1"/>
  <c r="C32" i="2" s="1"/>
  <c r="G32" i="2" l="1"/>
  <c r="F33" i="2" s="1"/>
  <c r="D33" i="2" l="1"/>
  <c r="C33" i="2" s="1"/>
  <c r="G33" i="2" l="1"/>
  <c r="F34" i="2" s="1"/>
  <c r="D34" i="2" l="1"/>
  <c r="C34" i="2" s="1"/>
  <c r="G34" i="2" l="1"/>
  <c r="F35" i="2" s="1"/>
  <c r="D35" i="2" l="1"/>
  <c r="C35" i="2" s="1"/>
  <c r="G35" i="2" l="1"/>
  <c r="F36" i="2" s="1"/>
  <c r="D36" i="2" l="1"/>
  <c r="C36" i="2" s="1"/>
  <c r="G36" i="2" l="1"/>
  <c r="F37" i="2" s="1"/>
  <c r="D37" i="2" l="1"/>
  <c r="C37" i="2" s="1"/>
  <c r="G37" i="2" l="1"/>
  <c r="F38" i="2" s="1"/>
  <c r="D38" i="2" l="1"/>
  <c r="C38" i="2" l="1"/>
  <c r="D21" i="1" s="1"/>
  <c r="C40" i="2" s="1"/>
  <c r="D39" i="2"/>
  <c r="G38" i="2"/>
  <c r="D15" i="1"/>
  <c r="F39" i="2"/>
  <c r="C39" i="2" l="1"/>
  <c r="D16" i="1"/>
</calcChain>
</file>

<file path=xl/sharedStrings.xml><?xml version="1.0" encoding="utf-8"?>
<sst xmlns="http://schemas.openxmlformats.org/spreadsheetml/2006/main" count="47" uniqueCount="45">
  <si>
    <t>КРЕДИТНИЙ КАЛЬКУЛЯТОР "РОЗСТРОЧКА NOVAPAY"</t>
  </si>
  <si>
    <t>Тариф</t>
  </si>
  <si>
    <t>Умови</t>
  </si>
  <si>
    <t>Сума кредиту, грн.</t>
  </si>
  <si>
    <t>Тариф 1</t>
  </si>
  <si>
    <t>2,5% / міс</t>
  </si>
  <si>
    <t>Строк кредитування, міс.</t>
  </si>
  <si>
    <t>Тариф 2</t>
  </si>
  <si>
    <t>3,5% / міс</t>
  </si>
  <si>
    <t>Тариф 3</t>
  </si>
  <si>
    <t>6% / міс</t>
  </si>
  <si>
    <t>ЩОМІСЯЧНИЙ ПЛАТІЖ, грн.</t>
  </si>
  <si>
    <t>Тариф 4</t>
  </si>
  <si>
    <t>49% річних</t>
  </si>
  <si>
    <t>Тариф 5</t>
  </si>
  <si>
    <t>69% річних</t>
  </si>
  <si>
    <t>Тариф 6</t>
  </si>
  <si>
    <t>109% річних</t>
  </si>
  <si>
    <t>Загальна кількість платежів, шт.</t>
  </si>
  <si>
    <t xml:space="preserve">Періодичність сплати платежів </t>
  </si>
  <si>
    <t>щомісяця, відповідно до Графіка платежів</t>
  </si>
  <si>
    <t>Загальні витрати за споживчим кредитом, грн.</t>
  </si>
  <si>
    <t>Загальна вартість кредиту, грн.</t>
  </si>
  <si>
    <t>Тариф для розрахунку</t>
  </si>
  <si>
    <t>Процентна ставка, % річних</t>
  </si>
  <si>
    <t>Реальна річна процентна ставка, % річних</t>
  </si>
  <si>
    <t>Дата розрахунку кредиту</t>
  </si>
  <si>
    <t>*Заповніть поля виділені сірим кольором</t>
  </si>
  <si>
    <t>№</t>
  </si>
  <si>
    <t>Дата</t>
  </si>
  <si>
    <t>Платіж</t>
  </si>
  <si>
    <t>Тіло</t>
  </si>
  <si>
    <t>Комісія</t>
  </si>
  <si>
    <t>Відсотки</t>
  </si>
  <si>
    <t>Залишок боргу</t>
  </si>
  <si>
    <t>строк</t>
  </si>
  <si>
    <t>Разом</t>
  </si>
  <si>
    <t>Реальна річна ставка</t>
  </si>
  <si>
    <t>Мінімальна сума 500</t>
  </si>
  <si>
    <t>Тіло кредиту , грн.</t>
  </si>
  <si>
    <t>Комісія за надання фінансового інструменту (кредиту), грн.</t>
  </si>
  <si>
    <t>Комісія за обслуговування фін.інструменту (кредиту), грн.</t>
  </si>
  <si>
    <t>Комісія за надання фінансового інструменту (кредиту),% разово</t>
  </si>
  <si>
    <t>Комісія за обслуговування фін.інструменту (кредиту), % в місяць</t>
  </si>
  <si>
    <t>Сума перевищує макс 300 000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</si>
</sst>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%"/>
    <numFmt numFmtId="165" formatCode="#,##0.00\ [$₴-422]"/>
    <numFmt numFmtId="166" formatCode="#,##0.0\ [$₴-422]"/>
    <numFmt numFmtId="167" formatCode="0.00000%"/>
    <numFmt numFmtId="168" formatCode="dd\.mm\.yyyy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12"/>
      <color theme="1"/>
      <name val="Calibri"/>
      <family val="2"/>
      <charset val="204"/>
    </font>
    <font>
      <i/>
      <sz val="12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i/>
      <sz val="10"/>
      <color theme="1"/>
      <name val="Calibri"/>
      <family val="2"/>
      <charset val="204"/>
    </font>
    <font>
      <i/>
      <sz val="10"/>
      <color theme="1"/>
      <name val="Calibri"/>
      <family val="2"/>
      <charset val="204"/>
    </font>
    <font>
      <i/>
      <sz val="10"/>
      <color theme="1"/>
      <name val="Calibri"/>
      <family val="2"/>
      <charset val="204"/>
    </font>
    <font>
      <sz val="10"/>
      <color theme="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D9D9D9"/>
        <bgColor rgb="FFD9D9D9"/>
      </patternFill>
    </fill>
    <fill>
      <patternFill patternType="solid">
        <fgColor theme="0" tint="-0.14999847407452621"/>
        <bgColor rgb="FFD9EAD3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4" fillId="0" borderId="0" xfId="0" applyFont="1"/>
    <xf numFmtId="0" fontId="2" fillId="0" borderId="4" xfId="0" applyFont="1" applyBorder="1"/>
    <xf numFmtId="0" fontId="2" fillId="0" borderId="5" xfId="0" applyFont="1" applyBorder="1"/>
    <xf numFmtId="164" fontId="4" fillId="0" borderId="0" xfId="0" applyNumberFormat="1" applyFont="1" applyAlignment="1">
      <alignment horizontal="center"/>
    </xf>
    <xf numFmtId="0" fontId="5" fillId="2" borderId="0" xfId="0" applyFont="1" applyFill="1" applyAlignment="1">
      <alignment wrapText="1"/>
    </xf>
    <xf numFmtId="0" fontId="6" fillId="0" borderId="0" xfId="0" applyFont="1"/>
    <xf numFmtId="166" fontId="2" fillId="0" borderId="0" xfId="0" applyNumberFormat="1" applyFont="1"/>
    <xf numFmtId="167" fontId="6" fillId="0" borderId="0" xfId="0" applyNumberFormat="1" applyFont="1"/>
    <xf numFmtId="10" fontId="6" fillId="0" borderId="0" xfId="0" applyNumberFormat="1" applyFont="1"/>
    <xf numFmtId="14" fontId="5" fillId="0" borderId="0" xfId="0" applyNumberFormat="1" applyFont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7" fillId="0" borderId="0" xfId="0" applyFont="1"/>
    <xf numFmtId="0" fontId="8" fillId="0" borderId="0" xfId="0" applyFont="1" applyAlignment="1">
      <alignment horizontal="center" vertical="center"/>
    </xf>
    <xf numFmtId="168" fontId="3" fillId="0" borderId="0" xfId="0" applyNumberFormat="1" applyFont="1"/>
    <xf numFmtId="4" fontId="9" fillId="0" borderId="0" xfId="0" applyNumberFormat="1" applyFont="1" applyAlignment="1">
      <alignment horizontal="right" vertical="center"/>
    </xf>
    <xf numFmtId="4" fontId="3" fillId="0" borderId="0" xfId="0" applyNumberFormat="1" applyFont="1"/>
    <xf numFmtId="2" fontId="9" fillId="0" borderId="0" xfId="0" applyNumberFormat="1" applyFont="1" applyAlignment="1">
      <alignment horizontal="right" vertical="center"/>
    </xf>
    <xf numFmtId="2" fontId="8" fillId="0" borderId="0" xfId="0" applyNumberFormat="1" applyFont="1" applyAlignment="1">
      <alignment horizontal="right" vertical="center"/>
    </xf>
    <xf numFmtId="10" fontId="8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4" fontId="3" fillId="0" borderId="0" xfId="0" applyNumberFormat="1" applyFont="1"/>
    <xf numFmtId="0" fontId="11" fillId="0" borderId="0" xfId="0" applyFont="1"/>
    <xf numFmtId="1" fontId="11" fillId="3" borderId="0" xfId="0" applyNumberFormat="1" applyFont="1" applyFill="1"/>
    <xf numFmtId="2" fontId="11" fillId="0" borderId="0" xfId="0" applyNumberFormat="1" applyFont="1"/>
    <xf numFmtId="4" fontId="11" fillId="0" borderId="0" xfId="0" applyNumberFormat="1" applyFont="1"/>
    <xf numFmtId="1" fontId="11" fillId="0" borderId="0" xfId="0" applyNumberFormat="1" applyFont="1"/>
    <xf numFmtId="0" fontId="11" fillId="0" borderId="0" xfId="0" applyFont="1" applyAlignment="1">
      <alignment vertical="top"/>
    </xf>
    <xf numFmtId="2" fontId="11" fillId="0" borderId="0" xfId="0" applyNumberFormat="1" applyFont="1" applyAlignment="1">
      <alignment horizontal="right" vertical="top" wrapText="1"/>
    </xf>
    <xf numFmtId="10" fontId="11" fillId="0" borderId="0" xfId="0" applyNumberFormat="1" applyFont="1" applyAlignment="1">
      <alignment wrapText="1"/>
    </xf>
    <xf numFmtId="168" fontId="11" fillId="0" borderId="0" xfId="0" applyNumberFormat="1" applyFont="1"/>
    <xf numFmtId="0" fontId="11" fillId="0" borderId="0" xfId="0" applyFont="1" applyAlignment="1">
      <alignment wrapText="1"/>
    </xf>
    <xf numFmtId="166" fontId="11" fillId="4" borderId="0" xfId="0" applyNumberFormat="1" applyFont="1" applyFill="1" applyAlignment="1">
      <alignment horizontal="right" wrapText="1"/>
    </xf>
    <xf numFmtId="0" fontId="8" fillId="5" borderId="0" xfId="0" applyFont="1" applyFill="1" applyAlignment="1">
      <alignment horizontal="center" vertical="center"/>
    </xf>
    <xf numFmtId="0" fontId="7" fillId="5" borderId="0" xfId="0" applyFont="1" applyFill="1"/>
    <xf numFmtId="4" fontId="9" fillId="5" borderId="0" xfId="0" applyNumberFormat="1" applyFont="1" applyFill="1"/>
    <xf numFmtId="4" fontId="3" fillId="5" borderId="0" xfId="0" applyNumberFormat="1" applyFont="1" applyFill="1"/>
    <xf numFmtId="2" fontId="9" fillId="5" borderId="0" xfId="0" applyNumberFormat="1" applyFont="1" applyFill="1"/>
    <xf numFmtId="2" fontId="3" fillId="5" borderId="0" xfId="0" applyNumberFormat="1" applyFont="1" applyFill="1"/>
    <xf numFmtId="2" fontId="8" fillId="5" borderId="0" xfId="0" applyNumberFormat="1" applyFont="1" applyFill="1" applyAlignment="1">
      <alignment horizontal="center" vertical="center"/>
    </xf>
    <xf numFmtId="2" fontId="8" fillId="5" borderId="0" xfId="0" applyNumberFormat="1" applyFont="1" applyFill="1"/>
    <xf numFmtId="4" fontId="11" fillId="0" borderId="0" xfId="0" applyNumberFormat="1" applyFont="1" applyProtection="1">
      <protection hidden="1"/>
    </xf>
    <xf numFmtId="10" fontId="11" fillId="0" borderId="0" xfId="0" applyNumberFormat="1" applyFont="1" applyAlignment="1" applyProtection="1">
      <alignment wrapText="1"/>
      <protection hidden="1"/>
    </xf>
    <xf numFmtId="0" fontId="2" fillId="6" borderId="0" xfId="0" applyFont="1" applyFill="1" applyAlignment="1">
      <alignment wrapText="1"/>
    </xf>
    <xf numFmtId="10" fontId="2" fillId="6" borderId="0" xfId="0" applyNumberFormat="1" applyFont="1" applyFill="1" applyAlignment="1">
      <alignment wrapText="1"/>
    </xf>
    <xf numFmtId="165" fontId="5" fillId="6" borderId="0" xfId="0" applyNumberFormat="1" applyFont="1" applyFill="1" applyAlignment="1">
      <alignment wrapText="1"/>
    </xf>
    <xf numFmtId="165" fontId="2" fillId="6" borderId="0" xfId="0" applyNumberFormat="1" applyFont="1" applyFill="1" applyAlignment="1">
      <alignment wrapText="1"/>
    </xf>
    <xf numFmtId="0" fontId="2" fillId="6" borderId="0" xfId="0" applyFont="1" applyFill="1"/>
    <xf numFmtId="165" fontId="2" fillId="6" borderId="0" xfId="0" applyNumberFormat="1" applyFont="1" applyFill="1"/>
    <xf numFmtId="4" fontId="11" fillId="3" borderId="0" xfId="0" applyNumberFormat="1" applyFont="1" applyFill="1"/>
    <xf numFmtId="167" fontId="11" fillId="0" borderId="0" xfId="0" applyNumberFormat="1" applyFont="1" applyAlignment="1">
      <alignment wrapText="1"/>
    </xf>
    <xf numFmtId="0" fontId="7" fillId="0" borderId="0" xfId="0" applyFont="1" applyAlignment="1">
      <alignment horizontal="center"/>
    </xf>
    <xf numFmtId="0" fontId="1" fillId="0" borderId="0" xfId="0" applyFont="1"/>
    <xf numFmtId="166" fontId="9" fillId="0" borderId="0" xfId="0" applyNumberFormat="1" applyFont="1" applyAlignment="1">
      <alignment horizontal="center" vertical="top" wrapText="1"/>
    </xf>
    <xf numFmtId="166" fontId="10" fillId="0" borderId="0" xfId="0" applyNumberFormat="1" applyFont="1" applyAlignment="1">
      <alignment horizontal="center" vertical="top" wrapText="1"/>
    </xf>
    <xf numFmtId="0" fontId="11" fillId="0" borderId="2" xfId="0" applyFont="1" applyBorder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alcChain" Target="calcChain.xml"/><Relationship Id="rId10" Type="http://schemas.microsoft.com/office/2017/10/relationships/person" Target="persons/person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showGridLines="0" tabSelected="1" workbookViewId="0">
      <selection activeCell="I16" sqref="I16"/>
    </sheetView>
  </sheetViews>
  <sheetFormatPr defaultColWidth="14.44140625" defaultRowHeight="15" customHeight="1" x14ac:dyDescent="0.3"/>
  <cols>
    <col min="1" max="1" width="2.5546875" customWidth="1"/>
    <col min="2" max="2" width="3.44140625" customWidth="1"/>
    <col min="3" max="3" width="54.6640625" customWidth="1"/>
    <col min="4" max="4" width="22" customWidth="1"/>
    <col min="5" max="5" width="4.44140625" customWidth="1"/>
    <col min="6" max="6" width="23.33203125" hidden="1" customWidth="1"/>
    <col min="7" max="7" width="18" hidden="1" customWidth="1"/>
    <col min="8" max="26" width="9.109375" customWidth="1"/>
  </cols>
  <sheetData>
    <row r="1" spans="1:26" ht="20.25" customHeight="1" x14ac:dyDescent="0.3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 x14ac:dyDescent="0.3">
      <c r="A2" s="1"/>
      <c r="B2" s="3"/>
      <c r="C2" s="4"/>
      <c r="D2" s="4"/>
      <c r="E2" s="5"/>
      <c r="F2" s="1"/>
      <c r="G2" s="6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3">
      <c r="A3" s="1"/>
      <c r="B3" s="7"/>
      <c r="C3" s="58" t="s">
        <v>0</v>
      </c>
      <c r="D3" s="59"/>
      <c r="E3" s="8"/>
      <c r="F3" s="1"/>
      <c r="G3" s="9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3">
      <c r="A4" s="1"/>
      <c r="B4" s="7"/>
      <c r="C4" s="1"/>
      <c r="D4" s="1"/>
      <c r="E4" s="8"/>
      <c r="F4" s="10" t="s">
        <v>1</v>
      </c>
      <c r="G4" s="10" t="s">
        <v>2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3">
      <c r="A5" s="1"/>
      <c r="B5" s="7"/>
      <c r="C5" s="29" t="s">
        <v>3</v>
      </c>
      <c r="D5" s="56">
        <v>10000</v>
      </c>
      <c r="E5" s="8"/>
      <c r="F5" s="50" t="s">
        <v>4</v>
      </c>
      <c r="G5" s="51" t="s">
        <v>5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3">
      <c r="A6" s="1"/>
      <c r="B6" s="7"/>
      <c r="C6" s="29" t="s">
        <v>6</v>
      </c>
      <c r="D6" s="30">
        <v>6</v>
      </c>
      <c r="E6" s="8"/>
      <c r="F6" s="50" t="s">
        <v>7</v>
      </c>
      <c r="G6" s="51" t="s">
        <v>8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3">
      <c r="A7" s="1"/>
      <c r="B7" s="7"/>
      <c r="C7" s="29"/>
      <c r="D7" s="31"/>
      <c r="E7" s="8"/>
      <c r="F7" s="50" t="s">
        <v>9</v>
      </c>
      <c r="G7" s="51" t="s">
        <v>10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3">
      <c r="A8" s="1"/>
      <c r="B8" s="7"/>
      <c r="C8" s="29" t="s">
        <v>11</v>
      </c>
      <c r="D8" s="32">
        <f>платежі!C3</f>
        <v>1912.8</v>
      </c>
      <c r="E8" s="8"/>
      <c r="F8" s="50" t="s">
        <v>12</v>
      </c>
      <c r="G8" s="52" t="s">
        <v>13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 x14ac:dyDescent="0.3">
      <c r="A9" s="1"/>
      <c r="B9" s="7"/>
      <c r="C9" s="29" t="s">
        <v>39</v>
      </c>
      <c r="D9" s="32">
        <f>платежі!D3</f>
        <v>1496.78</v>
      </c>
      <c r="E9" s="8"/>
      <c r="F9" s="53" t="s">
        <v>14</v>
      </c>
      <c r="G9" s="53" t="s">
        <v>15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4" customHeight="1" x14ac:dyDescent="0.3">
      <c r="A10" s="1"/>
      <c r="B10" s="7"/>
      <c r="C10" s="29" t="s">
        <v>41</v>
      </c>
      <c r="D10" s="32">
        <f>платежі!E3</f>
        <v>0</v>
      </c>
      <c r="E10" s="8"/>
      <c r="F10" s="54" t="s">
        <v>16</v>
      </c>
      <c r="G10" s="55" t="s">
        <v>17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4" customHeight="1" x14ac:dyDescent="0.3">
      <c r="A11" s="1"/>
      <c r="B11" s="7"/>
      <c r="C11" s="29" t="s">
        <v>40</v>
      </c>
      <c r="D11" s="48">
        <v>0</v>
      </c>
      <c r="E11" s="8"/>
      <c r="F11" s="54"/>
      <c r="G11" s="55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3">
      <c r="A12" s="1"/>
      <c r="B12" s="7"/>
      <c r="C12" s="29" t="s">
        <v>18</v>
      </c>
      <c r="D12" s="33">
        <f>D6</f>
        <v>6</v>
      </c>
      <c r="E12" s="8"/>
      <c r="F12" s="1"/>
      <c r="G12" s="1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1.5" customHeight="1" x14ac:dyDescent="0.3">
      <c r="A13" s="1"/>
      <c r="B13" s="7"/>
      <c r="C13" s="34" t="s">
        <v>19</v>
      </c>
      <c r="D13" s="35" t="s">
        <v>20</v>
      </c>
      <c r="E13" s="8"/>
      <c r="F13" s="11"/>
      <c r="G13" s="60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3">
      <c r="A14" s="1"/>
      <c r="B14" s="7"/>
      <c r="C14" s="29"/>
      <c r="D14" s="31"/>
      <c r="E14" s="8"/>
      <c r="F14" s="1"/>
      <c r="G14" s="61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3">
      <c r="A15" s="1"/>
      <c r="B15" s="7"/>
      <c r="C15" s="29" t="s">
        <v>21</v>
      </c>
      <c r="D15" s="32">
        <f>SUM(платежі!E3:F38)</f>
        <v>1493.6599999999999</v>
      </c>
      <c r="E15" s="8"/>
      <c r="F15" s="1"/>
      <c r="G15" s="61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3">
      <c r="A16" s="1"/>
      <c r="B16" s="7"/>
      <c r="C16" s="29" t="s">
        <v>22</v>
      </c>
      <c r="D16" s="32">
        <f>SUM(платежі!C3:C38)</f>
        <v>11493.66</v>
      </c>
      <c r="E16" s="8"/>
      <c r="F16" s="1"/>
      <c r="G16" s="61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3">
      <c r="A17" s="1"/>
      <c r="B17" s="7"/>
      <c r="C17" s="38" t="s">
        <v>23</v>
      </c>
      <c r="D17" s="39" t="s">
        <v>12</v>
      </c>
      <c r="E17" s="8"/>
      <c r="F17" s="1"/>
      <c r="G17" s="1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0" customHeight="1" x14ac:dyDescent="0.3">
      <c r="A18" s="1"/>
      <c r="B18" s="7"/>
      <c r="C18" s="38" t="s">
        <v>43</v>
      </c>
      <c r="D18" s="36">
        <f>IF(OR($D$17="Тариф 1",$D$17="Тариф 2",$D$17="Тариф 3"),IF($D$17="Тариф 1",2.5%,IF($D$17="Тариф 2",3.5%,6%)),0%)</f>
        <v>0</v>
      </c>
      <c r="E18" s="8"/>
      <c r="F18" s="1"/>
      <c r="G18" s="13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0" customHeight="1" x14ac:dyDescent="0.3">
      <c r="A19" s="1"/>
      <c r="B19" s="7"/>
      <c r="C19" s="38" t="s">
        <v>42</v>
      </c>
      <c r="D19" s="49">
        <v>0</v>
      </c>
      <c r="E19" s="8"/>
      <c r="F19" s="1"/>
      <c r="G19" s="13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3">
      <c r="A20" s="1"/>
      <c r="B20" s="7"/>
      <c r="C20" s="38" t="s">
        <v>24</v>
      </c>
      <c r="D20" s="57">
        <f>IF(OR($D$17="Тариф 1",$D$17="Тариф 2",$D$17="Тариф 3"),0.00001%,IF($D$17="Тариф 4",49%,IF($D$17="Тариф 5",69%,109%)))</f>
        <v>0.49</v>
      </c>
      <c r="E20" s="8"/>
      <c r="F20" s="1"/>
      <c r="G20" s="14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3">
      <c r="A21" s="1"/>
      <c r="B21" s="7"/>
      <c r="C21" s="38" t="s">
        <v>25</v>
      </c>
      <c r="D21" s="36">
        <f>IFERROR(XIRR(платежі!C2:C38,платежі!B2:B38,0),0)</f>
        <v>0.61635069335937498</v>
      </c>
      <c r="E21" s="8"/>
      <c r="F21" s="1"/>
      <c r="G21" s="1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3">
      <c r="A22" s="1"/>
      <c r="B22" s="7"/>
      <c r="C22" s="29" t="s">
        <v>26</v>
      </c>
      <c r="D22" s="37">
        <v>46204</v>
      </c>
      <c r="E22" s="8"/>
      <c r="F22" s="1"/>
      <c r="G22" s="15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thickBot="1" x14ac:dyDescent="0.35">
      <c r="A23" s="1"/>
      <c r="B23" s="16"/>
      <c r="C23" s="17"/>
      <c r="D23" s="17"/>
      <c r="E23" s="18"/>
      <c r="F23" s="1"/>
      <c r="G23" s="1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3">
      <c r="A24" s="1"/>
      <c r="B24" s="62" t="s">
        <v>27</v>
      </c>
      <c r="C24" s="62"/>
      <c r="D24" s="1"/>
      <c r="E24" s="1"/>
      <c r="F24" s="1"/>
      <c r="G24" s="1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3">
      <c r="A25" s="1"/>
      <c r="B25" s="2"/>
      <c r="C25" s="2"/>
      <c r="D25" s="1"/>
      <c r="E25" s="1"/>
      <c r="F25" s="1"/>
      <c r="G25" s="1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</sheetData>
  <mergeCells count="3">
    <mergeCell ref="C3:D3"/>
    <mergeCell ref="G13:G16"/>
    <mergeCell ref="B24:C24"/>
  </mergeCells>
  <dataValidations count="3">
    <dataValidation type="decimal" allowBlank="1" showInputMessage="1" showErrorMessage="1" prompt="від 500 до 300 000 грн." sqref="D5" xr:uid="{00000000-0002-0000-0000-000000000000}">
      <formula1>500</formula1>
      <formula2>300000</formula2>
    </dataValidation>
    <dataValidation type="list" allowBlank="1" sqref="D17" xr:uid="{00000000-0002-0000-0000-000002000000}">
      <formula1>"Тариф 1,Тариф 2,Тариф 3,Тариф 4,Тариф 5,Тариф 6"</formula1>
    </dataValidation>
    <dataValidation type="list" allowBlank="1" sqref="D6" xr:uid="{00000000-0002-0000-0000-000003000000}">
      <formula1>"1,3,6,10,12,18,24,30,36"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00"/>
  <sheetViews>
    <sheetView workbookViewId="0">
      <selection activeCell="J32" sqref="I32:J32"/>
    </sheetView>
  </sheetViews>
  <sheetFormatPr defaultColWidth="14.44140625" defaultRowHeight="15" customHeight="1" x14ac:dyDescent="0.3"/>
  <cols>
    <col min="1" max="1" width="16" customWidth="1"/>
    <col min="2" max="2" width="18.6640625" customWidth="1"/>
    <col min="3" max="3" width="16" customWidth="1"/>
    <col min="4" max="5" width="16" hidden="1" customWidth="1"/>
    <col min="6" max="6" width="20.6640625" hidden="1" customWidth="1"/>
    <col min="7" max="7" width="16" hidden="1" customWidth="1"/>
    <col min="8" max="8" width="16" customWidth="1"/>
    <col min="9" max="9" width="11.5546875" customWidth="1"/>
  </cols>
  <sheetData>
    <row r="1" spans="1:9" ht="14.25" customHeight="1" x14ac:dyDescent="0.3">
      <c r="A1" s="19" t="s">
        <v>28</v>
      </c>
      <c r="B1" s="20" t="s">
        <v>29</v>
      </c>
      <c r="C1" s="20" t="s">
        <v>30</v>
      </c>
      <c r="D1" s="40" t="s">
        <v>31</v>
      </c>
      <c r="E1" s="40" t="s">
        <v>32</v>
      </c>
      <c r="F1" s="40" t="s">
        <v>33</v>
      </c>
      <c r="G1" s="41" t="s">
        <v>34</v>
      </c>
      <c r="H1" s="19" t="s">
        <v>35</v>
      </c>
      <c r="I1" s="2"/>
    </row>
    <row r="2" spans="1:9" ht="14.25" customHeight="1" x14ac:dyDescent="0.3">
      <c r="A2" s="2" t="s">
        <v>28</v>
      </c>
      <c r="B2" s="21">
        <f>Лист1!D22</f>
        <v>46204</v>
      </c>
      <c r="C2" s="22">
        <f>-Лист1!D5</f>
        <v>-10000</v>
      </c>
      <c r="D2" s="42">
        <f t="shared" ref="D2:F2" si="0">0</f>
        <v>0</v>
      </c>
      <c r="E2" s="42">
        <f t="shared" si="0"/>
        <v>0</v>
      </c>
      <c r="F2" s="42">
        <f t="shared" si="0"/>
        <v>0</v>
      </c>
      <c r="G2" s="43">
        <f>Лист1!$D$5</f>
        <v>10000</v>
      </c>
      <c r="H2" s="2">
        <v>1</v>
      </c>
      <c r="I2" s="2"/>
    </row>
    <row r="3" spans="1:9" ht="14.25" customHeight="1" x14ac:dyDescent="0.3">
      <c r="A3" s="2">
        <v>1</v>
      </c>
      <c r="B3" s="21">
        <f t="shared" ref="B3:B38" si="1">IF(DAY(EDATE($B$2,ROW()-2))=DAY($B$2),EDATE($B$2,ROW()-2),EOMONTH(EDATE($B$2,ROW()-2),0))</f>
        <v>46235</v>
      </c>
      <c r="C3" s="24">
        <f>IF(A3&lt;=Лист1!$D$6,D3+E3+F3,0)</f>
        <v>1912.8</v>
      </c>
      <c r="D3" s="44">
        <f>IF(A3&lt;=Лист1!$D$6,IF(OR(Лист1!$D$17="Тариф 1",Лист1!$D$17="Тариф 2",Лист1!$D$17="Тариф 3"),IF(A3=Лист1!$D$6,G2,ROUND(Лист1!$D$5/Лист1!$D$6,2)),IF(A3=Лист1!$D$6,G2,ROUND(PMT(Лист1!$D$20/12,Лист1!$D$6,-Лист1!$D$5)-F3,2))),0)</f>
        <v>1496.78</v>
      </c>
      <c r="E3" s="44">
        <f>IF(A3&lt;=Лист1!$D$6,IF(OR(Лист1!$D$17="Тариф 1",Лист1!$D$17="Тариф 2",Лист1!$D$17="Тариф 3"),ROUND(Лист1!$D$5*Лист1!$D$18,2),0),0)</f>
        <v>0</v>
      </c>
      <c r="F3" s="44">
        <f>IF(OR(Лист1!$D$17="Тариф 1",Лист1!$D$17="Тариф 2",Лист1!$D$17="Тариф 3"),0,IF(A3&lt;=Лист1!$D$6,ROUND(G2*Лист1!$D$20/365,2)*(B3-B2),0))</f>
        <v>416.02</v>
      </c>
      <c r="G3" s="45">
        <f>IF(A3&lt;=Лист1!$D$6,ROUND(G2-D3,2),0)</f>
        <v>8503.2199999999993</v>
      </c>
      <c r="H3" s="2">
        <v>3</v>
      </c>
      <c r="I3" s="2"/>
    </row>
    <row r="4" spans="1:9" ht="14.25" customHeight="1" x14ac:dyDescent="0.3">
      <c r="A4" s="2">
        <v>2</v>
      </c>
      <c r="B4" s="21">
        <f t="shared" si="1"/>
        <v>46266</v>
      </c>
      <c r="C4" s="24">
        <f>IF(A4&lt;=Лист1!$D$6,D4+E4+F4,0)</f>
        <v>1912.8</v>
      </c>
      <c r="D4" s="44">
        <f>IF(A4&lt;=Лист1!$D$6,IF(OR(Лист1!$D$17="Тариф 1",Лист1!$D$17="Тариф 2",Лист1!$D$17="Тариф 3"),IF(A4=Лист1!$D$6,G3,ROUND(Лист1!$D$5/Лист1!$D$6,2)),IF(A4=Лист1!$D$6,G3,ROUND(PMT(Лист1!$D$20/12,Лист1!$D$6,-Лист1!$D$5)-F4,2))),0)</f>
        <v>1558.78</v>
      </c>
      <c r="E4" s="44">
        <f>IF(A4&lt;=Лист1!$D$6,IF(OR(Лист1!$D$17="Тариф 1",Лист1!$D$17="Тариф 2",Лист1!$D$17="Тариф 3"),ROUND(Лист1!$D$5*Лист1!$D$18,2),0),0)</f>
        <v>0</v>
      </c>
      <c r="F4" s="44">
        <f>IF(OR(Лист1!$D$17="Тариф 1",Лист1!$D$17="Тариф 2",Лист1!$D$17="Тариф 3"),0,IF(A4&lt;=Лист1!$D$6,ROUND(G3*Лист1!$D$20/365,2)*(B4-B3),0))</f>
        <v>354.02</v>
      </c>
      <c r="G4" s="45">
        <f>IF(A4&lt;=Лист1!$D$6,ROUND(G3-D4,2),0)</f>
        <v>6944.44</v>
      </c>
      <c r="H4" s="2">
        <v>6</v>
      </c>
      <c r="I4" s="2"/>
    </row>
    <row r="5" spans="1:9" ht="14.25" customHeight="1" x14ac:dyDescent="0.3">
      <c r="A5" s="2">
        <v>3</v>
      </c>
      <c r="B5" s="21">
        <f t="shared" si="1"/>
        <v>46296</v>
      </c>
      <c r="C5" s="24">
        <f>IF(A5&lt;=Лист1!$D$6,D5+E5+F5,0)</f>
        <v>1912.8000000000002</v>
      </c>
      <c r="D5" s="44">
        <f>IF(A5&lt;=Лист1!$D$6,IF(OR(Лист1!$D$17="Тариф 1",Лист1!$D$17="Тариф 2",Лист1!$D$17="Тариф 3"),IF(A5=Лист1!$D$6,G4,ROUND(Лист1!$D$5/Лист1!$D$6,2)),IF(A5=Лист1!$D$6,G4,ROUND(PMT(Лист1!$D$20/12,Лист1!$D$6,-Лист1!$D$5)-F5,2))),0)</f>
        <v>1633.2</v>
      </c>
      <c r="E5" s="44">
        <f>IF(A5&lt;=Лист1!$D$6,IF(OR(Лист1!$D$17="Тариф 1",Лист1!$D$17="Тариф 2",Лист1!$D$17="Тариф 3"),ROUND(Лист1!$D$5*Лист1!$D$18,2),0),0)</f>
        <v>0</v>
      </c>
      <c r="F5" s="44">
        <f>IF(OR(Лист1!$D$17="Тариф 1",Лист1!$D$17="Тариф 2",Лист1!$D$17="Тариф 3"),0,IF(A5&lt;=Лист1!$D$6,ROUND(G4*Лист1!$D$20/365,2)*(B5-B4),0))</f>
        <v>279.60000000000002</v>
      </c>
      <c r="G5" s="45">
        <f>IF(A5&lt;=Лист1!$D$6,ROUND(G4-D5,2),0)</f>
        <v>5311.24</v>
      </c>
      <c r="H5" s="2">
        <v>10</v>
      </c>
      <c r="I5" s="2"/>
    </row>
    <row r="6" spans="1:9" ht="14.25" customHeight="1" x14ac:dyDescent="0.3">
      <c r="A6" s="2">
        <v>4</v>
      </c>
      <c r="B6" s="21">
        <f t="shared" si="1"/>
        <v>46327</v>
      </c>
      <c r="C6" s="24">
        <f>IF(A6&lt;=Лист1!$D$6,D6+E6+F6,0)</f>
        <v>1912.8</v>
      </c>
      <c r="D6" s="44">
        <f>IF(A6&lt;=Лист1!$D$6,IF(OR(Лист1!$D$17="Тариф 1",Лист1!$D$17="Тариф 2",Лист1!$D$17="Тариф 3"),IF(A6=Лист1!$D$6,G5,ROUND(Лист1!$D$5/Лист1!$D$6,2)),IF(A6=Лист1!$D$6,G5,ROUND(PMT(Лист1!$D$20/12,Лист1!$D$6,-Лист1!$D$5)-F6,2))),0)</f>
        <v>1691.77</v>
      </c>
      <c r="E6" s="44">
        <f>IF(A6&lt;=Лист1!$D$6,IF(OR(Лист1!$D$17="Тариф 1",Лист1!$D$17="Тариф 2",Лист1!$D$17="Тариф 3"),ROUND(Лист1!$D$5*Лист1!$D$18,2),0),0)</f>
        <v>0</v>
      </c>
      <c r="F6" s="44">
        <f>IF(OR(Лист1!$D$17="Тариф 1",Лист1!$D$17="Тариф 2",Лист1!$D$17="Тариф 3"),0,IF(A6&lt;=Лист1!$D$6,ROUND(G5*Лист1!$D$20/365,2)*(B6-B5),0))</f>
        <v>221.03</v>
      </c>
      <c r="G6" s="45">
        <f>IF(A6&lt;=Лист1!$D$6,ROUND(G5-D6,2),0)</f>
        <v>3619.47</v>
      </c>
      <c r="H6" s="2">
        <v>12</v>
      </c>
      <c r="I6" s="2"/>
    </row>
    <row r="7" spans="1:9" ht="14.25" customHeight="1" x14ac:dyDescent="0.3">
      <c r="A7" s="2">
        <v>5</v>
      </c>
      <c r="B7" s="21">
        <f t="shared" si="1"/>
        <v>46357</v>
      </c>
      <c r="C7" s="24">
        <f>IF(A7&lt;=Лист1!$D$6,D7+E7+F7,0)</f>
        <v>1912.8</v>
      </c>
      <c r="D7" s="44">
        <f>IF(A7&lt;=Лист1!$D$6,IF(OR(Лист1!$D$17="Тариф 1",Лист1!$D$17="Тариф 2",Лист1!$D$17="Тариф 3"),IF(A7=Лист1!$D$6,G6,ROUND(Лист1!$D$5/Лист1!$D$6,2)),IF(A7=Лист1!$D$6,G6,ROUND(PMT(Лист1!$D$20/12,Лист1!$D$6,-Лист1!$D$5)-F7,2))),0)</f>
        <v>1767</v>
      </c>
      <c r="E7" s="44">
        <f>IF(A7&lt;=Лист1!$D$6,IF(OR(Лист1!$D$17="Тариф 1",Лист1!$D$17="Тариф 2",Лист1!$D$17="Тариф 3"),ROUND(Лист1!$D$5*Лист1!$D$18,2),0),0)</f>
        <v>0</v>
      </c>
      <c r="F7" s="44">
        <f>IF(OR(Лист1!$D$17="Тариф 1",Лист1!$D$17="Тариф 2",Лист1!$D$17="Тариф 3"),0,IF(A7&lt;=Лист1!$D$6,ROUND(G6*Лист1!$D$20/365,2)*(B7-B6),0))</f>
        <v>145.80000000000001</v>
      </c>
      <c r="G7" s="45">
        <f>IF(A7&lt;=Лист1!$D$6,ROUND(G6-D7,2),0)</f>
        <v>1852.47</v>
      </c>
      <c r="H7" s="2">
        <v>18</v>
      </c>
      <c r="I7" s="2"/>
    </row>
    <row r="8" spans="1:9" ht="14.25" customHeight="1" x14ac:dyDescent="0.3">
      <c r="A8" s="2">
        <v>6</v>
      </c>
      <c r="B8" s="21">
        <f t="shared" si="1"/>
        <v>46388</v>
      </c>
      <c r="C8" s="24">
        <f>IF(A8&lt;=Лист1!$D$6,D8+E8+F8,0)</f>
        <v>1929.66</v>
      </c>
      <c r="D8" s="44">
        <f>IF(A8&lt;=Лист1!$D$6,IF(OR(Лист1!$D$17="Тариф 1",Лист1!$D$17="Тариф 2",Лист1!$D$17="Тариф 3"),IF(A8=Лист1!$D$6,G7,ROUND(Лист1!$D$5/Лист1!$D$6,2)),IF(A8=Лист1!$D$6,G7,ROUND(PMT(Лист1!$D$20/12,Лист1!$D$6,-Лист1!$D$5)-F8,2))),0)</f>
        <v>1852.47</v>
      </c>
      <c r="E8" s="44">
        <f>IF(A8&lt;=Лист1!$D$6,IF(OR(Лист1!$D$17="Тариф 1",Лист1!$D$17="Тариф 2",Лист1!$D$17="Тариф 3"),ROUND(Лист1!$D$5*Лист1!$D$18,2),0),0)</f>
        <v>0</v>
      </c>
      <c r="F8" s="44">
        <f>IF(OR(Лист1!$D$17="Тариф 1",Лист1!$D$17="Тариф 2",Лист1!$D$17="Тариф 3"),0,IF(A8&lt;=Лист1!$D$6,ROUND(G7*Лист1!$D$20/365,2)*(B8-B7),0))</f>
        <v>77.190000000000012</v>
      </c>
      <c r="G8" s="45">
        <f>IF(A8&lt;=Лист1!$D$6,ROUND(G7-D8,2),0)</f>
        <v>0</v>
      </c>
      <c r="H8" s="2">
        <v>24</v>
      </c>
      <c r="I8" s="2"/>
    </row>
    <row r="9" spans="1:9" ht="14.25" customHeight="1" x14ac:dyDescent="0.3">
      <c r="A9" s="2">
        <v>7</v>
      </c>
      <c r="B9" s="21">
        <f t="shared" si="1"/>
        <v>46419</v>
      </c>
      <c r="C9" s="24">
        <f>IF(A9&lt;=Лист1!$D$6,D9+E9+F9,0)</f>
        <v>0</v>
      </c>
      <c r="D9" s="44">
        <f>IF(A9&lt;=Лист1!$D$6,IF(OR(Лист1!$D$17="Тариф 1",Лист1!$D$17="Тариф 2",Лист1!$D$17="Тариф 3"),IF(A9=Лист1!$D$6,G8,ROUND(Лист1!$D$5/Лист1!$D$6,2)),IF(A9=Лист1!$D$6,G8,ROUND(PMT(Лист1!$D$20/12,Лист1!$D$6,-Лист1!$D$5)-F9,2))),0)</f>
        <v>0</v>
      </c>
      <c r="E9" s="44">
        <f>IF(A9&lt;=Лист1!$D$6,IF(OR(Лист1!$D$17="Тариф 1",Лист1!$D$17="Тариф 2",Лист1!$D$17="Тариф 3"),ROUND(Лист1!$D$5*Лист1!$D$18,2),0),0)</f>
        <v>0</v>
      </c>
      <c r="F9" s="44">
        <f>IF(OR(Лист1!$D$17="Тариф 1",Лист1!$D$17="Тариф 2",Лист1!$D$17="Тариф 3"),0,IF(A9&lt;=Лист1!$D$6,ROUND(G8*Лист1!$D$20/365,2)*(B9-B8),0))</f>
        <v>0</v>
      </c>
      <c r="G9" s="45">
        <f>IF(A9&lt;=Лист1!$D$6,ROUND(G8-D9,2),0)</f>
        <v>0</v>
      </c>
      <c r="H9" s="2">
        <v>30</v>
      </c>
      <c r="I9" s="2"/>
    </row>
    <row r="10" spans="1:9" ht="14.25" customHeight="1" x14ac:dyDescent="0.3">
      <c r="A10" s="2">
        <v>8</v>
      </c>
      <c r="B10" s="21">
        <f t="shared" si="1"/>
        <v>46447</v>
      </c>
      <c r="C10" s="24">
        <f>IF(A10&lt;=Лист1!$D$6,D10+E10+F10,0)</f>
        <v>0</v>
      </c>
      <c r="D10" s="44">
        <f>IF(A10&lt;=Лист1!$D$6,IF(OR(Лист1!$D$17="Тариф 1",Лист1!$D$17="Тариф 2",Лист1!$D$17="Тариф 3"),IF(A10=Лист1!$D$6,G9,ROUND(Лист1!$D$5/Лист1!$D$6,2)),IF(A10=Лист1!$D$6,G9,ROUND(PMT(Лист1!$D$20/12,Лист1!$D$6,-Лист1!$D$5)-F10,2))),0)</f>
        <v>0</v>
      </c>
      <c r="E10" s="44">
        <f>IF(A10&lt;=Лист1!$D$6,IF(OR(Лист1!$D$17="Тариф 1",Лист1!$D$17="Тариф 2",Лист1!$D$17="Тариф 3"),ROUND(Лист1!$D$5*Лист1!$D$18,2),0),0)</f>
        <v>0</v>
      </c>
      <c r="F10" s="44">
        <f>IF(OR(Лист1!$D$17="Тариф 1",Лист1!$D$17="Тариф 2",Лист1!$D$17="Тариф 3"),0,IF(A10&lt;=Лист1!$D$6,ROUND(G9*Лист1!$D$20/365,2)*(B10-B9),0))</f>
        <v>0</v>
      </c>
      <c r="G10" s="45">
        <f>IF(A10&lt;=Лист1!$D$6,ROUND(G9-D10,2),0)</f>
        <v>0</v>
      </c>
      <c r="H10" s="2">
        <v>36</v>
      </c>
      <c r="I10" s="2"/>
    </row>
    <row r="11" spans="1:9" ht="14.25" customHeight="1" x14ac:dyDescent="0.3">
      <c r="A11" s="2">
        <v>9</v>
      </c>
      <c r="B11" s="21">
        <f t="shared" si="1"/>
        <v>46478</v>
      </c>
      <c r="C11" s="24">
        <f>IF(A11&lt;=Лист1!$D$6,D11+E11+F11,0)</f>
        <v>0</v>
      </c>
      <c r="D11" s="44">
        <f>IF(A11&lt;=Лист1!$D$6,IF(OR(Лист1!$D$17="Тариф 1",Лист1!$D$17="Тариф 2",Лист1!$D$17="Тариф 3"),IF(A11=Лист1!$D$6,G10,ROUND(Лист1!$D$5/Лист1!$D$6,2)),IF(A11=Лист1!$D$6,G10,ROUND(PMT(Лист1!$D$20/12,Лист1!$D$6,-Лист1!$D$5)-F11,2))),0)</f>
        <v>0</v>
      </c>
      <c r="E11" s="44">
        <f>IF(A11&lt;=Лист1!$D$6,IF(OR(Лист1!$D$17="Тариф 1",Лист1!$D$17="Тариф 2",Лист1!$D$17="Тариф 3"),ROUND(Лист1!$D$5*Лист1!$D$18,2),0),0)</f>
        <v>0</v>
      </c>
      <c r="F11" s="44">
        <f>IF(OR(Лист1!$D$17="Тариф 1",Лист1!$D$17="Тариф 2",Лист1!$D$17="Тариф 3"),0,IF(A11&lt;=Лист1!$D$6,ROUND(G10*Лист1!$D$20/365,2)*(B11-B10),0))</f>
        <v>0</v>
      </c>
      <c r="G11" s="45">
        <f>IF(A11&lt;=Лист1!$D$6,ROUND(G10-D11,2),0)</f>
        <v>0</v>
      </c>
      <c r="I11" s="2"/>
    </row>
    <row r="12" spans="1:9" ht="14.25" customHeight="1" x14ac:dyDescent="0.3">
      <c r="A12" s="2">
        <v>10</v>
      </c>
      <c r="B12" s="21">
        <f t="shared" si="1"/>
        <v>46508</v>
      </c>
      <c r="C12" s="24">
        <f>IF(A12&lt;=Лист1!$D$6,D12+E12+F12,0)</f>
        <v>0</v>
      </c>
      <c r="D12" s="44">
        <f>IF(A12&lt;=Лист1!$D$6,IF(OR(Лист1!$D$17="Тариф 1",Лист1!$D$17="Тариф 2",Лист1!$D$17="Тариф 3"),IF(A12=Лист1!$D$6,G11,ROUND(Лист1!$D$5/Лист1!$D$6,2)),IF(A12=Лист1!$D$6,G11,ROUND(PMT(Лист1!$D$20/12,Лист1!$D$6,-Лист1!$D$5)-F12,2))),0)</f>
        <v>0</v>
      </c>
      <c r="E12" s="44">
        <f>IF(A12&lt;=Лист1!$D$6,IF(OR(Лист1!$D$17="Тариф 1",Лист1!$D$17="Тариф 2",Лист1!$D$17="Тариф 3"),ROUND(Лист1!$D$5*Лист1!$D$18,2),0),0)</f>
        <v>0</v>
      </c>
      <c r="F12" s="44">
        <f>IF(OR(Лист1!$D$17="Тариф 1",Лист1!$D$17="Тариф 2",Лист1!$D$17="Тариф 3"),0,IF(A12&lt;=Лист1!$D$6,ROUND(G11*Лист1!$D$20/365,2)*(B12-B11),0))</f>
        <v>0</v>
      </c>
      <c r="G12" s="45">
        <f>IF(A12&lt;=Лист1!$D$6,ROUND(G11-D12,2),0)</f>
        <v>0</v>
      </c>
      <c r="H12" s="2"/>
      <c r="I12" s="2"/>
    </row>
    <row r="13" spans="1:9" ht="14.25" customHeight="1" x14ac:dyDescent="0.3">
      <c r="A13" s="2">
        <v>11</v>
      </c>
      <c r="B13" s="21">
        <f t="shared" si="1"/>
        <v>46539</v>
      </c>
      <c r="C13" s="24">
        <f>IF(A13&lt;=Лист1!$D$6,D13+E13+F13,0)</f>
        <v>0</v>
      </c>
      <c r="D13" s="44">
        <f>IF(A13&lt;=Лист1!$D$6,IF(OR(Лист1!$D$17="Тариф 1",Лист1!$D$17="Тариф 2",Лист1!$D$17="Тариф 3"),IF(A13=Лист1!$D$6,G12,ROUND(Лист1!$D$5/Лист1!$D$6,2)),IF(A13=Лист1!$D$6,G12,ROUND(PMT(Лист1!$D$20/12,Лист1!$D$6,-Лист1!$D$5)-F13,2))),0)</f>
        <v>0</v>
      </c>
      <c r="E13" s="44">
        <f>IF(A13&lt;=Лист1!$D$6,IF(OR(Лист1!$D$17="Тариф 1",Лист1!$D$17="Тариф 2",Лист1!$D$17="Тариф 3"),ROUND(Лист1!$D$5*Лист1!$D$18,2),0),0)</f>
        <v>0</v>
      </c>
      <c r="F13" s="44">
        <f>IF(OR(Лист1!$D$17="Тариф 1",Лист1!$D$17="Тариф 2",Лист1!$D$17="Тариф 3"),0,IF(A13&lt;=Лист1!$D$6,ROUND(G12*Лист1!$D$20/365,2)*(B13-B12),0))</f>
        <v>0</v>
      </c>
      <c r="G13" s="45">
        <f>IF(A13&lt;=Лист1!$D$6,ROUND(G12-D13,2),0)</f>
        <v>0</v>
      </c>
      <c r="H13" s="2"/>
      <c r="I13" s="2"/>
    </row>
    <row r="14" spans="1:9" ht="14.25" customHeight="1" x14ac:dyDescent="0.3">
      <c r="A14" s="2">
        <v>12</v>
      </c>
      <c r="B14" s="21">
        <f t="shared" si="1"/>
        <v>46569</v>
      </c>
      <c r="C14" s="24">
        <f>IF(A14&lt;=Лист1!$D$6,D14+E14+F14,0)</f>
        <v>0</v>
      </c>
      <c r="D14" s="44">
        <f>IF(A14&lt;=Лист1!$D$6,IF(OR(Лист1!$D$17="Тариф 1",Лист1!$D$17="Тариф 2",Лист1!$D$17="Тариф 3"),IF(A14=Лист1!$D$6,G13,ROUND(Лист1!$D$5/Лист1!$D$6,2)),IF(A14=Лист1!$D$6,G13,ROUND(PMT(Лист1!$D$20/12,Лист1!$D$6,-Лист1!$D$5)-F14,2))),0)</f>
        <v>0</v>
      </c>
      <c r="E14" s="44">
        <f>IF(A14&lt;=Лист1!$D$6,IF(OR(Лист1!$D$17="Тариф 1",Лист1!$D$17="Тариф 2",Лист1!$D$17="Тариф 3"),ROUND(Лист1!$D$5*Лист1!$D$18,2),0),0)</f>
        <v>0</v>
      </c>
      <c r="F14" s="44">
        <f>IF(OR(Лист1!$D$17="Тариф 1",Лист1!$D$17="Тариф 2",Лист1!$D$17="Тариф 3"),0,IF(A14&lt;=Лист1!$D$6,ROUND(G13*Лист1!$D$20/365,2)*(B14-B13),0))</f>
        <v>0</v>
      </c>
      <c r="G14" s="45">
        <f>IF(A14&lt;=Лист1!$D$6,ROUND(G13-D14,2),0)</f>
        <v>0</v>
      </c>
      <c r="H14" s="2"/>
      <c r="I14" s="2"/>
    </row>
    <row r="15" spans="1:9" ht="14.25" customHeight="1" x14ac:dyDescent="0.3">
      <c r="A15" s="2">
        <v>13</v>
      </c>
      <c r="B15" s="21">
        <f t="shared" si="1"/>
        <v>46600</v>
      </c>
      <c r="C15" s="24">
        <f>IF(A15&lt;=Лист1!$D$6,D15+E15+F15,0)</f>
        <v>0</v>
      </c>
      <c r="D15" s="44">
        <f>IF(A15&lt;=Лист1!$D$6,IF(OR(Лист1!$D$17="Тариф 1",Лист1!$D$17="Тариф 2",Лист1!$D$17="Тариф 3"),IF(A15=Лист1!$D$6,G14,ROUND(Лист1!$D$5/Лист1!$D$6,2)),IF(A15=Лист1!$D$6,G14,ROUND(PMT(Лист1!$D$20/12,Лист1!$D$6,-Лист1!$D$5)-F15,2))),0)</f>
        <v>0</v>
      </c>
      <c r="E15" s="44">
        <f>IF(A15&lt;=Лист1!$D$6,IF(OR(Лист1!$D$17="Тариф 1",Лист1!$D$17="Тариф 2",Лист1!$D$17="Тариф 3"),ROUND(Лист1!$D$5*Лист1!$D$18,2),0),0)</f>
        <v>0</v>
      </c>
      <c r="F15" s="44">
        <f>IF(OR(Лист1!$D$17="Тариф 1",Лист1!$D$17="Тариф 2",Лист1!$D$17="Тариф 3"),0,IF(A15&lt;=Лист1!$D$6,ROUND(G14*Лист1!$D$20/365,2)*(B15-B14),0))</f>
        <v>0</v>
      </c>
      <c r="G15" s="45">
        <f>IF(A15&lt;=Лист1!$D$6,ROUND(G14-D15,2),0)</f>
        <v>0</v>
      </c>
      <c r="H15" s="2"/>
      <c r="I15" s="2"/>
    </row>
    <row r="16" spans="1:9" ht="14.25" customHeight="1" x14ac:dyDescent="0.3">
      <c r="A16" s="2">
        <v>14</v>
      </c>
      <c r="B16" s="21">
        <f t="shared" si="1"/>
        <v>46631</v>
      </c>
      <c r="C16" s="24">
        <f>IF(A16&lt;=Лист1!$D$6,D16+E16+F16,0)</f>
        <v>0</v>
      </c>
      <c r="D16" s="44">
        <f>IF(A16&lt;=Лист1!$D$6,IF(OR(Лист1!$D$17="Тариф 1",Лист1!$D$17="Тариф 2",Лист1!$D$17="Тариф 3"),IF(A16=Лист1!$D$6,G15,ROUND(Лист1!$D$5/Лист1!$D$6,2)),IF(A16=Лист1!$D$6,G15,ROUND(PMT(Лист1!$D$20/12,Лист1!$D$6,-Лист1!$D$5)-F16,2))),0)</f>
        <v>0</v>
      </c>
      <c r="E16" s="44">
        <f>IF(A16&lt;=Лист1!$D$6,IF(OR(Лист1!$D$17="Тариф 1",Лист1!$D$17="Тариф 2",Лист1!$D$17="Тариф 3"),ROUND(Лист1!$D$5*Лист1!$D$18,2),0),0)</f>
        <v>0</v>
      </c>
      <c r="F16" s="44">
        <f>IF(OR(Лист1!$D$17="Тариф 1",Лист1!$D$17="Тариф 2",Лист1!$D$17="Тариф 3"),0,IF(A16&lt;=Лист1!$D$6,ROUND(G15*Лист1!$D$20/365,2)*(B16-B15),0))</f>
        <v>0</v>
      </c>
      <c r="G16" s="45">
        <f>IF(A16&lt;=Лист1!$D$6,ROUND(G15-D16,2),0)</f>
        <v>0</v>
      </c>
      <c r="H16" s="2"/>
      <c r="I16" s="2"/>
    </row>
    <row r="17" spans="1:9" ht="14.25" customHeight="1" x14ac:dyDescent="0.3">
      <c r="A17" s="2">
        <v>15</v>
      </c>
      <c r="B17" s="21">
        <f t="shared" si="1"/>
        <v>46661</v>
      </c>
      <c r="C17" s="24">
        <f>IF(A17&lt;=Лист1!$D$6,D17+E17+F17,0)</f>
        <v>0</v>
      </c>
      <c r="D17" s="44">
        <f>IF(A17&lt;=Лист1!$D$6,IF(OR(Лист1!$D$17="Тариф 1",Лист1!$D$17="Тариф 2",Лист1!$D$17="Тариф 3"),IF(A17=Лист1!$D$6,G16,ROUND(Лист1!$D$5/Лист1!$D$6,2)),IF(A17=Лист1!$D$6,G16,ROUND(PMT(Лист1!$D$20/12,Лист1!$D$6,-Лист1!$D$5)-F17,2))),0)</f>
        <v>0</v>
      </c>
      <c r="E17" s="44">
        <f>IF(A17&lt;=Лист1!$D$6,IF(OR(Лист1!$D$17="Тариф 1",Лист1!$D$17="Тариф 2",Лист1!$D$17="Тариф 3"),ROUND(Лист1!$D$5*Лист1!$D$18,2),0),0)</f>
        <v>0</v>
      </c>
      <c r="F17" s="44">
        <f>IF(OR(Лист1!$D$17="Тариф 1",Лист1!$D$17="Тариф 2",Лист1!$D$17="Тариф 3"),0,IF(A17&lt;=Лист1!$D$6,ROUND(G16*Лист1!$D$20/365,2)*(B17-B16),0))</f>
        <v>0</v>
      </c>
      <c r="G17" s="45">
        <f>IF(A17&lt;=Лист1!$D$6,ROUND(G16-D17,2),0)</f>
        <v>0</v>
      </c>
      <c r="H17" s="2"/>
      <c r="I17" s="2"/>
    </row>
    <row r="18" spans="1:9" ht="14.25" customHeight="1" x14ac:dyDescent="0.3">
      <c r="A18" s="2">
        <v>16</v>
      </c>
      <c r="B18" s="21">
        <f t="shared" si="1"/>
        <v>46692</v>
      </c>
      <c r="C18" s="24">
        <f>IF(A18&lt;=Лист1!$D$6,D18+E18+F18,0)</f>
        <v>0</v>
      </c>
      <c r="D18" s="44">
        <f>IF(A18&lt;=Лист1!$D$6,IF(OR(Лист1!$D$17="Тариф 1",Лист1!$D$17="Тариф 2",Лист1!$D$17="Тариф 3"),IF(A18=Лист1!$D$6,G17,ROUND(Лист1!$D$5/Лист1!$D$6,2)),IF(A18=Лист1!$D$6,G17,ROUND(PMT(Лист1!$D$20/12,Лист1!$D$6,-Лист1!$D$5)-F18,2))),0)</f>
        <v>0</v>
      </c>
      <c r="E18" s="44">
        <f>IF(A18&lt;=Лист1!$D$6,IF(OR(Лист1!$D$17="Тариф 1",Лист1!$D$17="Тариф 2",Лист1!$D$17="Тариф 3"),ROUND(Лист1!$D$5*Лист1!$D$18,2),0),0)</f>
        <v>0</v>
      </c>
      <c r="F18" s="44">
        <f>IF(OR(Лист1!$D$17="Тариф 1",Лист1!$D$17="Тариф 2",Лист1!$D$17="Тариф 3"),0,IF(A18&lt;=Лист1!$D$6,ROUND(G17*Лист1!$D$20/365,2)*(B18-B17),0))</f>
        <v>0</v>
      </c>
      <c r="G18" s="45">
        <f>IF(A18&lt;=Лист1!$D$6,ROUND(G17-D18,2),0)</f>
        <v>0</v>
      </c>
      <c r="H18" s="2"/>
      <c r="I18" s="2"/>
    </row>
    <row r="19" spans="1:9" ht="14.25" customHeight="1" x14ac:dyDescent="0.3">
      <c r="A19" s="2">
        <v>17</v>
      </c>
      <c r="B19" s="21">
        <f t="shared" si="1"/>
        <v>46722</v>
      </c>
      <c r="C19" s="24">
        <f>IF(A19&lt;=Лист1!$D$6,D19+E19+F19,0)</f>
        <v>0</v>
      </c>
      <c r="D19" s="44">
        <f>IF(A19&lt;=Лист1!$D$6,IF(OR(Лист1!$D$17="Тариф 1",Лист1!$D$17="Тариф 2",Лист1!$D$17="Тариф 3"),IF(A19=Лист1!$D$6,G18,ROUND(Лист1!$D$5/Лист1!$D$6,2)),IF(A19=Лист1!$D$6,G18,ROUND(PMT(Лист1!$D$20/12,Лист1!$D$6,-Лист1!$D$5)-F19,2))),0)</f>
        <v>0</v>
      </c>
      <c r="E19" s="44">
        <f>IF(A19&lt;=Лист1!$D$6,IF(OR(Лист1!$D$17="Тариф 1",Лист1!$D$17="Тариф 2",Лист1!$D$17="Тариф 3"),ROUND(Лист1!$D$5*Лист1!$D$18,2),0),0)</f>
        <v>0</v>
      </c>
      <c r="F19" s="44">
        <f>IF(OR(Лист1!$D$17="Тариф 1",Лист1!$D$17="Тариф 2",Лист1!$D$17="Тариф 3"),0,IF(A19&lt;=Лист1!$D$6,ROUND(G18*Лист1!$D$20/365,2)*(B19-B18),0))</f>
        <v>0</v>
      </c>
      <c r="G19" s="45">
        <f>IF(A19&lt;=Лист1!$D$6,ROUND(G18-D19,2),0)</f>
        <v>0</v>
      </c>
      <c r="H19" s="2"/>
      <c r="I19" s="2"/>
    </row>
    <row r="20" spans="1:9" ht="14.25" customHeight="1" x14ac:dyDescent="0.3">
      <c r="A20" s="2">
        <v>18</v>
      </c>
      <c r="B20" s="21">
        <f t="shared" si="1"/>
        <v>46753</v>
      </c>
      <c r="C20" s="24">
        <f>IF(A20&lt;=Лист1!$D$6,D20+E20+F20,0)</f>
        <v>0</v>
      </c>
      <c r="D20" s="44">
        <f>IF(A20&lt;=Лист1!$D$6,IF(OR(Лист1!$D$17="Тариф 1",Лист1!$D$17="Тариф 2",Лист1!$D$17="Тариф 3"),IF(A20=Лист1!$D$6,G19,ROUND(Лист1!$D$5/Лист1!$D$6,2)),IF(A20=Лист1!$D$6,G19,ROUND(PMT(Лист1!$D$20/12,Лист1!$D$6,-Лист1!$D$5)-F20,2))),0)</f>
        <v>0</v>
      </c>
      <c r="E20" s="44">
        <f>IF(A20&lt;=Лист1!$D$6,IF(OR(Лист1!$D$17="Тариф 1",Лист1!$D$17="Тариф 2",Лист1!$D$17="Тариф 3"),ROUND(Лист1!$D$5*Лист1!$D$18,2),0),0)</f>
        <v>0</v>
      </c>
      <c r="F20" s="44">
        <f>IF(OR(Лист1!$D$17="Тариф 1",Лист1!$D$17="Тариф 2",Лист1!$D$17="Тариф 3"),0,IF(A20&lt;=Лист1!$D$6,ROUND(G19*Лист1!$D$20/365,2)*(B20-B19),0))</f>
        <v>0</v>
      </c>
      <c r="G20" s="45">
        <f>IF(A20&lt;=Лист1!$D$6,ROUND(G19-D20,2),0)</f>
        <v>0</v>
      </c>
      <c r="H20" s="2"/>
      <c r="I20" s="2"/>
    </row>
    <row r="21" spans="1:9" ht="14.25" customHeight="1" x14ac:dyDescent="0.3">
      <c r="A21" s="2">
        <v>19</v>
      </c>
      <c r="B21" s="21">
        <f t="shared" si="1"/>
        <v>46784</v>
      </c>
      <c r="C21" s="24">
        <f>IF(A21&lt;=Лист1!$D$6,D21+E21+F21,0)</f>
        <v>0</v>
      </c>
      <c r="D21" s="44">
        <f>IF(A21&lt;=Лист1!$D$6,IF(OR(Лист1!$D$17="Тариф 1",Лист1!$D$17="Тариф 2",Лист1!$D$17="Тариф 3"),IF(A21=Лист1!$D$6,G20,ROUND(Лист1!$D$5/Лист1!$D$6,2)),IF(A21=Лист1!$D$6,G20,ROUND(PMT(Лист1!$D$20/12,Лист1!$D$6,-Лист1!$D$5)-F21,2))),0)</f>
        <v>0</v>
      </c>
      <c r="E21" s="44">
        <f>IF(A21&lt;=Лист1!$D$6,IF(OR(Лист1!$D$17="Тариф 1",Лист1!$D$17="Тариф 2",Лист1!$D$17="Тариф 3"),ROUND(Лист1!$D$5*Лист1!$D$18,2),0),0)</f>
        <v>0</v>
      </c>
      <c r="F21" s="44">
        <f>IF(OR(Лист1!$D$17="Тариф 1",Лист1!$D$17="Тариф 2",Лист1!$D$17="Тариф 3"),0,IF(A21&lt;=Лист1!$D$6,ROUND(G20*Лист1!$D$20/365,2)*(B21-B20),0))</f>
        <v>0</v>
      </c>
      <c r="G21" s="45">
        <f>IF(A21&lt;=Лист1!$D$6,ROUND(G20-D21,2),0)</f>
        <v>0</v>
      </c>
      <c r="H21" s="2"/>
      <c r="I21" s="2"/>
    </row>
    <row r="22" spans="1:9" ht="14.25" customHeight="1" x14ac:dyDescent="0.3">
      <c r="A22" s="2">
        <v>20</v>
      </c>
      <c r="B22" s="21">
        <f t="shared" si="1"/>
        <v>46813</v>
      </c>
      <c r="C22" s="24">
        <f>IF(A22&lt;=Лист1!$D$6,D22+E22+F22,0)</f>
        <v>0</v>
      </c>
      <c r="D22" s="44">
        <f>IF(A22&lt;=Лист1!$D$6,IF(OR(Лист1!$D$17="Тариф 1",Лист1!$D$17="Тариф 2",Лист1!$D$17="Тариф 3"),IF(A22=Лист1!$D$6,G21,ROUND(Лист1!$D$5/Лист1!$D$6,2)),IF(A22=Лист1!$D$6,G21,ROUND(PMT(Лист1!$D$20/12,Лист1!$D$6,-Лист1!$D$5)-F22,2))),0)</f>
        <v>0</v>
      </c>
      <c r="E22" s="44">
        <f>IF(A22&lt;=Лист1!$D$6,IF(OR(Лист1!$D$17="Тариф 1",Лист1!$D$17="Тариф 2",Лист1!$D$17="Тариф 3"),ROUND(Лист1!$D$5*Лист1!$D$18,2),0),0)</f>
        <v>0</v>
      </c>
      <c r="F22" s="44">
        <f>IF(OR(Лист1!$D$17="Тариф 1",Лист1!$D$17="Тариф 2",Лист1!$D$17="Тариф 3"),0,IF(A22&lt;=Лист1!$D$6,ROUND(G21*Лист1!$D$20/365,2)*(B22-B21),0))</f>
        <v>0</v>
      </c>
      <c r="G22" s="45">
        <f>IF(A22&lt;=Лист1!$D$6,ROUND(G21-D22,2),0)</f>
        <v>0</v>
      </c>
      <c r="H22" s="2"/>
      <c r="I22" s="2"/>
    </row>
    <row r="23" spans="1:9" ht="14.25" customHeight="1" x14ac:dyDescent="0.3">
      <c r="A23" s="2">
        <v>21</v>
      </c>
      <c r="B23" s="21">
        <f t="shared" si="1"/>
        <v>46844</v>
      </c>
      <c r="C23" s="24">
        <f>IF(A23&lt;=Лист1!$D$6,D23+E23+F23,0)</f>
        <v>0</v>
      </c>
      <c r="D23" s="44">
        <f>IF(A23&lt;=Лист1!$D$6,IF(OR(Лист1!$D$17="Тариф 1",Лист1!$D$17="Тариф 2",Лист1!$D$17="Тариф 3"),IF(A23=Лист1!$D$6,G22,ROUND(Лист1!$D$5/Лист1!$D$6,2)),IF(A23=Лист1!$D$6,G22,ROUND(PMT(Лист1!$D$20/12,Лист1!$D$6,-Лист1!$D$5)-F23,2))),0)</f>
        <v>0</v>
      </c>
      <c r="E23" s="44">
        <f>IF(A23&lt;=Лист1!$D$6,IF(OR(Лист1!$D$17="Тариф 1",Лист1!$D$17="Тариф 2",Лист1!$D$17="Тариф 3"),ROUND(Лист1!$D$5*Лист1!$D$18,2),0),0)</f>
        <v>0</v>
      </c>
      <c r="F23" s="44">
        <f>IF(OR(Лист1!$D$17="Тариф 1",Лист1!$D$17="Тариф 2",Лист1!$D$17="Тариф 3"),0,IF(A23&lt;=Лист1!$D$6,ROUND(G22*Лист1!$D$20/365,2)*(B23-B22),0))</f>
        <v>0</v>
      </c>
      <c r="G23" s="45">
        <f>IF(A23&lt;=Лист1!$D$6,ROUND(G22-D23,2),0)</f>
        <v>0</v>
      </c>
      <c r="H23" s="2"/>
      <c r="I23" s="2"/>
    </row>
    <row r="24" spans="1:9" ht="14.25" customHeight="1" x14ac:dyDescent="0.3">
      <c r="A24" s="2">
        <v>22</v>
      </c>
      <c r="B24" s="21">
        <f t="shared" si="1"/>
        <v>46874</v>
      </c>
      <c r="C24" s="24">
        <f>IF(A24&lt;=Лист1!$D$6,D24+E24+F24,0)</f>
        <v>0</v>
      </c>
      <c r="D24" s="44">
        <f>IF(A24&lt;=Лист1!$D$6,IF(OR(Лист1!$D$17="Тариф 1",Лист1!$D$17="Тариф 2",Лист1!$D$17="Тариф 3"),IF(A24=Лист1!$D$6,G23,ROUND(Лист1!$D$5/Лист1!$D$6,2)),IF(A24=Лист1!$D$6,G23,ROUND(PMT(Лист1!$D$20/12,Лист1!$D$6,-Лист1!$D$5)-F24,2))),0)</f>
        <v>0</v>
      </c>
      <c r="E24" s="44">
        <f>IF(A24&lt;=Лист1!$D$6,IF(OR(Лист1!$D$17="Тариф 1",Лист1!$D$17="Тариф 2",Лист1!$D$17="Тариф 3"),ROUND(Лист1!$D$5*Лист1!$D$18,2),0),0)</f>
        <v>0</v>
      </c>
      <c r="F24" s="44">
        <f>IF(OR(Лист1!$D$17="Тариф 1",Лист1!$D$17="Тариф 2",Лист1!$D$17="Тариф 3"),0,IF(A24&lt;=Лист1!$D$6,ROUND(G23*Лист1!$D$20/365,2)*(B24-B23),0))</f>
        <v>0</v>
      </c>
      <c r="G24" s="45">
        <f>IF(A24&lt;=Лист1!$D$6,ROUND(G23-D24,2),0)</f>
        <v>0</v>
      </c>
      <c r="H24" s="2"/>
      <c r="I24" s="2"/>
    </row>
    <row r="25" spans="1:9" ht="14.25" customHeight="1" x14ac:dyDescent="0.3">
      <c r="A25" s="2">
        <v>23</v>
      </c>
      <c r="B25" s="21">
        <f t="shared" si="1"/>
        <v>46905</v>
      </c>
      <c r="C25" s="24">
        <f>IF(A25&lt;=Лист1!$D$6,D25+E25+F25,0)</f>
        <v>0</v>
      </c>
      <c r="D25" s="44">
        <f>IF(A25&lt;=Лист1!$D$6,IF(OR(Лист1!$D$17="Тариф 1",Лист1!$D$17="Тариф 2",Лист1!$D$17="Тариф 3"),IF(A25=Лист1!$D$6,G24,ROUND(Лист1!$D$5/Лист1!$D$6,2)),IF(A25=Лист1!$D$6,G24,ROUND(PMT(Лист1!$D$20/12,Лист1!$D$6,-Лист1!$D$5)-F25,2))),0)</f>
        <v>0</v>
      </c>
      <c r="E25" s="44">
        <f>IF(A25&lt;=Лист1!$D$6,IF(OR(Лист1!$D$17="Тариф 1",Лист1!$D$17="Тариф 2",Лист1!$D$17="Тариф 3"),ROUND(Лист1!$D$5*Лист1!$D$18,2),0),0)</f>
        <v>0</v>
      </c>
      <c r="F25" s="44">
        <f>IF(OR(Лист1!$D$17="Тариф 1",Лист1!$D$17="Тариф 2",Лист1!$D$17="Тариф 3"),0,IF(A25&lt;=Лист1!$D$6,ROUND(G24*Лист1!$D$20/365,2)*(B25-B24),0))</f>
        <v>0</v>
      </c>
      <c r="G25" s="45">
        <f>IF(A25&lt;=Лист1!$D$6,ROUND(G24-D25,2),0)</f>
        <v>0</v>
      </c>
      <c r="H25" s="2"/>
      <c r="I25" s="2"/>
    </row>
    <row r="26" spans="1:9" ht="14.25" customHeight="1" x14ac:dyDescent="0.3">
      <c r="A26" s="2">
        <v>24</v>
      </c>
      <c r="B26" s="21">
        <f t="shared" si="1"/>
        <v>46935</v>
      </c>
      <c r="C26" s="24">
        <f>IF(A26&lt;=Лист1!$D$6,D26+E26+F26,0)</f>
        <v>0</v>
      </c>
      <c r="D26" s="44">
        <f>IF(A26&lt;=Лист1!$D$6,IF(OR(Лист1!$D$17="Тариф 1",Лист1!$D$17="Тариф 2",Лист1!$D$17="Тариф 3"),IF(A26=Лист1!$D$6,G25,ROUND(Лист1!$D$5/Лист1!$D$6,2)),IF(A26=Лист1!$D$6,G25,ROUND(PMT(Лист1!$D$20/12,Лист1!$D$6,-Лист1!$D$5)-F26,2))),0)</f>
        <v>0</v>
      </c>
      <c r="E26" s="44">
        <f>IF(A26&lt;=Лист1!$D$6,IF(OR(Лист1!$D$17="Тариф 1",Лист1!$D$17="Тариф 2",Лист1!$D$17="Тариф 3"),ROUND(Лист1!$D$5*Лист1!$D$18,2),0),0)</f>
        <v>0</v>
      </c>
      <c r="F26" s="44">
        <f>IF(OR(Лист1!$D$17="Тариф 1",Лист1!$D$17="Тариф 2",Лист1!$D$17="Тариф 3"),0,IF(A26&lt;=Лист1!$D$6,ROUND(G25*Лист1!$D$20/365,2)*(B26-B25),0))</f>
        <v>0</v>
      </c>
      <c r="G26" s="45">
        <f>IF(A26&lt;=Лист1!$D$6,ROUND(G25-D26,2),0)</f>
        <v>0</v>
      </c>
      <c r="H26" s="2"/>
      <c r="I26" s="2"/>
    </row>
    <row r="27" spans="1:9" ht="14.25" customHeight="1" x14ac:dyDescent="0.3">
      <c r="A27" s="2">
        <v>25</v>
      </c>
      <c r="B27" s="21">
        <f t="shared" si="1"/>
        <v>46966</v>
      </c>
      <c r="C27" s="24">
        <f>IF(A27&lt;=Лист1!$D$6,D27+E27+F27,0)</f>
        <v>0</v>
      </c>
      <c r="D27" s="44">
        <f>IF(A27&lt;=Лист1!$D$6,IF(OR(Лист1!$D$17="Тариф 1",Лист1!$D$17="Тариф 2",Лист1!$D$17="Тариф 3"),IF(A27=Лист1!$D$6,G26,ROUND(Лист1!$D$5/Лист1!$D$6,2)),IF(A27=Лист1!$D$6,G26,ROUND(PMT(Лист1!$D$20/12,Лист1!$D$6,-Лист1!$D$5)-F27,2))),0)</f>
        <v>0</v>
      </c>
      <c r="E27" s="44">
        <f>IF(A27&lt;=Лист1!$D$6,IF(OR(Лист1!$D$17="Тариф 1",Лист1!$D$17="Тариф 2",Лист1!$D$17="Тариф 3"),ROUND(Лист1!$D$5*Лист1!$D$18,2),0),0)</f>
        <v>0</v>
      </c>
      <c r="F27" s="44">
        <f>IF(OR(Лист1!$D$17="Тариф 1",Лист1!$D$17="Тариф 2",Лист1!$D$17="Тариф 3"),0,IF(A27&lt;=Лист1!$D$6,ROUND(G26*Лист1!$D$20/365,2)*(B27-B26),0))</f>
        <v>0</v>
      </c>
      <c r="G27" s="45">
        <f>IF(A27&lt;=Лист1!$D$6,ROUND(G26-D27,2),0)</f>
        <v>0</v>
      </c>
      <c r="H27" s="2"/>
      <c r="I27" s="2"/>
    </row>
    <row r="28" spans="1:9" ht="14.25" customHeight="1" x14ac:dyDescent="0.3">
      <c r="A28" s="2">
        <v>26</v>
      </c>
      <c r="B28" s="21">
        <f t="shared" si="1"/>
        <v>46997</v>
      </c>
      <c r="C28" s="24">
        <f>IF(A28&lt;=Лист1!$D$6,D28+E28+F28,0)</f>
        <v>0</v>
      </c>
      <c r="D28" s="44">
        <f>IF(A28&lt;=Лист1!$D$6,IF(OR(Лист1!$D$17="Тариф 1",Лист1!$D$17="Тариф 2",Лист1!$D$17="Тариф 3"),IF(A28=Лист1!$D$6,G27,ROUND(Лист1!$D$5/Лист1!$D$6,2)),IF(A28=Лист1!$D$6,G27,ROUND(PMT(Лист1!$D$20/12,Лист1!$D$6,-Лист1!$D$5)-F28,2))),0)</f>
        <v>0</v>
      </c>
      <c r="E28" s="44">
        <f>IF(A28&lt;=Лист1!$D$6,IF(OR(Лист1!$D$17="Тариф 1",Лист1!$D$17="Тариф 2",Лист1!$D$17="Тариф 3"),ROUND(Лист1!$D$5*Лист1!$D$18,2),0),0)</f>
        <v>0</v>
      </c>
      <c r="F28" s="44">
        <f>IF(OR(Лист1!$D$17="Тариф 1",Лист1!$D$17="Тариф 2",Лист1!$D$17="Тариф 3"),0,IF(A28&lt;=Лист1!$D$6,ROUND(G27*Лист1!$D$20/365,2)*(B28-B27),0))</f>
        <v>0</v>
      </c>
      <c r="G28" s="45">
        <f>IF(A28&lt;=Лист1!$D$6,ROUND(G27-D28,2),0)</f>
        <v>0</v>
      </c>
      <c r="H28" s="2"/>
      <c r="I28" s="2"/>
    </row>
    <row r="29" spans="1:9" ht="14.25" customHeight="1" x14ac:dyDescent="0.3">
      <c r="A29" s="2">
        <v>27</v>
      </c>
      <c r="B29" s="21">
        <f t="shared" si="1"/>
        <v>47027</v>
      </c>
      <c r="C29" s="24">
        <f>IF(A29&lt;=Лист1!$D$6,D29+E29+F29,0)</f>
        <v>0</v>
      </c>
      <c r="D29" s="44">
        <f>IF(A29&lt;=Лист1!$D$6,IF(OR(Лист1!$D$17="Тариф 1",Лист1!$D$17="Тариф 2",Лист1!$D$17="Тариф 3"),IF(A29=Лист1!$D$6,G28,ROUND(Лист1!$D$5/Лист1!$D$6,2)),IF(A29=Лист1!$D$6,G28,ROUND(PMT(Лист1!$D$20/12,Лист1!$D$6,-Лист1!$D$5)-F29,2))),0)</f>
        <v>0</v>
      </c>
      <c r="E29" s="44">
        <f>IF(A29&lt;=Лист1!$D$6,IF(OR(Лист1!$D$17="Тариф 1",Лист1!$D$17="Тариф 2",Лист1!$D$17="Тариф 3"),ROUND(Лист1!$D$5*Лист1!$D$18,2),0),0)</f>
        <v>0</v>
      </c>
      <c r="F29" s="44">
        <f>IF(OR(Лист1!$D$17="Тариф 1",Лист1!$D$17="Тариф 2",Лист1!$D$17="Тариф 3"),0,IF(A29&lt;=Лист1!$D$6,ROUND(G28*Лист1!$D$20/365,2)*(B29-B28),0))</f>
        <v>0</v>
      </c>
      <c r="G29" s="45">
        <f>IF(A29&lt;=Лист1!$D$6,ROUND(G28-D29,2),0)</f>
        <v>0</v>
      </c>
      <c r="H29" s="2"/>
      <c r="I29" s="2"/>
    </row>
    <row r="30" spans="1:9" ht="14.25" customHeight="1" x14ac:dyDescent="0.3">
      <c r="A30" s="2">
        <v>28</v>
      </c>
      <c r="B30" s="21">
        <f t="shared" si="1"/>
        <v>47058</v>
      </c>
      <c r="C30" s="24">
        <f>IF(A30&lt;=Лист1!$D$6,D30+E30+F30,0)</f>
        <v>0</v>
      </c>
      <c r="D30" s="44">
        <f>IF(A30&lt;=Лист1!$D$6,IF(OR(Лист1!$D$17="Тариф 1",Лист1!$D$17="Тариф 2",Лист1!$D$17="Тариф 3"),IF(A30=Лист1!$D$6,G29,ROUND(Лист1!$D$5/Лист1!$D$6,2)),IF(A30=Лист1!$D$6,G29,ROUND(PMT(Лист1!$D$20/12,Лист1!$D$6,-Лист1!$D$5)-F30,2))),0)</f>
        <v>0</v>
      </c>
      <c r="E30" s="44">
        <f>IF(A30&lt;=Лист1!$D$6,IF(OR(Лист1!$D$17="Тариф 1",Лист1!$D$17="Тариф 2",Лист1!$D$17="Тариф 3"),ROUND(Лист1!$D$5*Лист1!$D$18,2),0),0)</f>
        <v>0</v>
      </c>
      <c r="F30" s="44">
        <f>IF(OR(Лист1!$D$17="Тариф 1",Лист1!$D$17="Тариф 2",Лист1!$D$17="Тариф 3"),0,IF(A30&lt;=Лист1!$D$6,ROUND(G29*Лист1!$D$20/365,2)*(B30-B29),0))</f>
        <v>0</v>
      </c>
      <c r="G30" s="45">
        <f>IF(A30&lt;=Лист1!$D$6,ROUND(G29-D30,2),0)</f>
        <v>0</v>
      </c>
      <c r="H30" s="2"/>
      <c r="I30" s="2"/>
    </row>
    <row r="31" spans="1:9" ht="14.25" customHeight="1" x14ac:dyDescent="0.3">
      <c r="A31" s="2">
        <v>29</v>
      </c>
      <c r="B31" s="21">
        <f t="shared" si="1"/>
        <v>47088</v>
      </c>
      <c r="C31" s="24">
        <f>IF(A31&lt;=Лист1!$D$6,D31+E31+F31,0)</f>
        <v>0</v>
      </c>
      <c r="D31" s="44">
        <f>IF(A31&lt;=Лист1!$D$6,IF(OR(Лист1!$D$17="Тариф 1",Лист1!$D$17="Тариф 2",Лист1!$D$17="Тариф 3"),IF(A31=Лист1!$D$6,G30,ROUND(Лист1!$D$5/Лист1!$D$6,2)),IF(A31=Лист1!$D$6,G30,ROUND(PMT(Лист1!$D$20/12,Лист1!$D$6,-Лист1!$D$5)-F31,2))),0)</f>
        <v>0</v>
      </c>
      <c r="E31" s="44">
        <f>IF(A31&lt;=Лист1!$D$6,IF(OR(Лист1!$D$17="Тариф 1",Лист1!$D$17="Тариф 2",Лист1!$D$17="Тариф 3"),ROUND(Лист1!$D$5*Лист1!$D$18,2),0),0)</f>
        <v>0</v>
      </c>
      <c r="F31" s="44">
        <f>IF(OR(Лист1!$D$17="Тариф 1",Лист1!$D$17="Тариф 2",Лист1!$D$17="Тариф 3"),0,IF(A31&lt;=Лист1!$D$6,ROUND(G30*Лист1!$D$20/365,2)*(B31-B30),0))</f>
        <v>0</v>
      </c>
      <c r="G31" s="45">
        <f>IF(A31&lt;=Лист1!$D$6,ROUND(G30-D31,2),0)</f>
        <v>0</v>
      </c>
      <c r="H31" s="2"/>
      <c r="I31" s="2"/>
    </row>
    <row r="32" spans="1:9" ht="14.25" customHeight="1" x14ac:dyDescent="0.3">
      <c r="A32" s="2">
        <v>30</v>
      </c>
      <c r="B32" s="21">
        <f t="shared" si="1"/>
        <v>47119</v>
      </c>
      <c r="C32" s="24">
        <f>IF(A32&lt;=Лист1!$D$6,D32+E32+F32,0)</f>
        <v>0</v>
      </c>
      <c r="D32" s="44">
        <f>IF(A32&lt;=Лист1!$D$6,IF(OR(Лист1!$D$17="Тариф 1",Лист1!$D$17="Тариф 2",Лист1!$D$17="Тариф 3"),IF(A32=Лист1!$D$6,G31,ROUND(Лист1!$D$5/Лист1!$D$6,2)),IF(A32=Лист1!$D$6,G31,ROUND(PMT(Лист1!$D$20/12,Лист1!$D$6,-Лист1!$D$5)-F32,2))),0)</f>
        <v>0</v>
      </c>
      <c r="E32" s="44">
        <f>IF(A32&lt;=Лист1!$D$6,IF(OR(Лист1!$D$17="Тариф 1",Лист1!$D$17="Тариф 2",Лист1!$D$17="Тариф 3"),ROUND(Лист1!$D$5*Лист1!$D$18,2),0),0)</f>
        <v>0</v>
      </c>
      <c r="F32" s="44">
        <f>IF(OR(Лист1!$D$17="Тариф 1",Лист1!$D$17="Тариф 2",Лист1!$D$17="Тариф 3"),0,IF(A32&lt;=Лист1!$D$6,ROUND(G31*Лист1!$D$20/365,2)*(B32-B31),0))</f>
        <v>0</v>
      </c>
      <c r="G32" s="45">
        <f>IF(A32&lt;=Лист1!$D$6,ROUND(G31-D32,2),0)</f>
        <v>0</v>
      </c>
      <c r="H32" s="2"/>
      <c r="I32" s="2"/>
    </row>
    <row r="33" spans="1:9" ht="14.25" customHeight="1" x14ac:dyDescent="0.3">
      <c r="A33" s="2">
        <v>31</v>
      </c>
      <c r="B33" s="21">
        <f t="shared" si="1"/>
        <v>47150</v>
      </c>
      <c r="C33" s="24">
        <f>IF(A33&lt;=Лист1!$D$6,D33+E33+F33,0)</f>
        <v>0</v>
      </c>
      <c r="D33" s="44">
        <f>IF(A33&lt;=Лист1!$D$6,IF(OR(Лист1!$D$17="Тариф 1",Лист1!$D$17="Тариф 2",Лист1!$D$17="Тариф 3"),IF(A33=Лист1!$D$6,G32,ROUND(Лист1!$D$5/Лист1!$D$6,2)),IF(A33=Лист1!$D$6,G32,ROUND(PMT(Лист1!$D$20/12,Лист1!$D$6,-Лист1!$D$5)-F33,2))),0)</f>
        <v>0</v>
      </c>
      <c r="E33" s="44">
        <f>IF(A33&lt;=Лист1!$D$6,IF(OR(Лист1!$D$17="Тариф 1",Лист1!$D$17="Тариф 2",Лист1!$D$17="Тариф 3"),ROUND(Лист1!$D$5*Лист1!$D$18,2),0),0)</f>
        <v>0</v>
      </c>
      <c r="F33" s="44">
        <f>IF(OR(Лист1!$D$17="Тариф 1",Лист1!$D$17="Тариф 2",Лист1!$D$17="Тариф 3"),0,IF(A33&lt;=Лист1!$D$6,ROUND(G32*Лист1!$D$20/365,2)*(B33-B32),0))</f>
        <v>0</v>
      </c>
      <c r="G33" s="45">
        <f>IF(A33&lt;=Лист1!$D$6,ROUND(G32-D33,2),0)</f>
        <v>0</v>
      </c>
      <c r="H33" s="2"/>
      <c r="I33" s="2"/>
    </row>
    <row r="34" spans="1:9" ht="14.25" customHeight="1" x14ac:dyDescent="0.3">
      <c r="A34" s="2">
        <v>32</v>
      </c>
      <c r="B34" s="21">
        <f t="shared" si="1"/>
        <v>47178</v>
      </c>
      <c r="C34" s="24">
        <f>IF(A34&lt;=Лист1!$D$6,D34+E34+F34,0)</f>
        <v>0</v>
      </c>
      <c r="D34" s="44">
        <f>IF(A34&lt;=Лист1!$D$6,IF(OR(Лист1!$D$17="Тариф 1",Лист1!$D$17="Тариф 2",Лист1!$D$17="Тариф 3"),IF(A34=Лист1!$D$6,G33,ROUND(Лист1!$D$5/Лист1!$D$6,2)),IF(A34=Лист1!$D$6,G33,ROUND(PMT(Лист1!$D$20/12,Лист1!$D$6,-Лист1!$D$5)-F34,2))),0)</f>
        <v>0</v>
      </c>
      <c r="E34" s="44">
        <f>IF(A34&lt;=Лист1!$D$6,IF(OR(Лист1!$D$17="Тариф 1",Лист1!$D$17="Тариф 2",Лист1!$D$17="Тариф 3"),ROUND(Лист1!$D$5*Лист1!$D$18,2),0),0)</f>
        <v>0</v>
      </c>
      <c r="F34" s="44">
        <f>IF(OR(Лист1!$D$17="Тариф 1",Лист1!$D$17="Тариф 2",Лист1!$D$17="Тариф 3"),0,IF(A34&lt;=Лист1!$D$6,ROUND(G33*Лист1!$D$20/365,2)*(B34-B33),0))</f>
        <v>0</v>
      </c>
      <c r="G34" s="45">
        <f>IF(A34&lt;=Лист1!$D$6,ROUND(G33-D34,2),0)</f>
        <v>0</v>
      </c>
      <c r="H34" s="2"/>
      <c r="I34" s="2"/>
    </row>
    <row r="35" spans="1:9" ht="14.25" customHeight="1" x14ac:dyDescent="0.3">
      <c r="A35" s="2">
        <v>33</v>
      </c>
      <c r="B35" s="21">
        <f t="shared" si="1"/>
        <v>47209</v>
      </c>
      <c r="C35" s="24">
        <f>IF(A35&lt;=Лист1!$D$6,D35+E35+F35,0)</f>
        <v>0</v>
      </c>
      <c r="D35" s="44">
        <f>IF(A35&lt;=Лист1!$D$6,IF(OR(Лист1!$D$17="Тариф 1",Лист1!$D$17="Тариф 2",Лист1!$D$17="Тариф 3"),IF(A35=Лист1!$D$6,G34,ROUND(Лист1!$D$5/Лист1!$D$6,2)),IF(A35=Лист1!$D$6,G34,ROUND(PMT(Лист1!$D$20/12,Лист1!$D$6,-Лист1!$D$5)-F35,2))),0)</f>
        <v>0</v>
      </c>
      <c r="E35" s="44">
        <f>IF(A35&lt;=Лист1!$D$6,IF(OR(Лист1!$D$17="Тариф 1",Лист1!$D$17="Тариф 2",Лист1!$D$17="Тариф 3"),ROUND(Лист1!$D$5*Лист1!$D$18,2),0),0)</f>
        <v>0</v>
      </c>
      <c r="F35" s="44">
        <f>IF(OR(Лист1!$D$17="Тариф 1",Лист1!$D$17="Тариф 2",Лист1!$D$17="Тариф 3"),0,IF(A35&lt;=Лист1!$D$6,ROUND(G34*Лист1!$D$20/365,2)*(B35-B34),0))</f>
        <v>0</v>
      </c>
      <c r="G35" s="45">
        <f>IF(A35&lt;=Лист1!$D$6,ROUND(G34-D35,2),0)</f>
        <v>0</v>
      </c>
      <c r="H35" s="2"/>
      <c r="I35" s="2"/>
    </row>
    <row r="36" spans="1:9" ht="14.25" customHeight="1" x14ac:dyDescent="0.3">
      <c r="A36" s="2">
        <v>34</v>
      </c>
      <c r="B36" s="21">
        <f t="shared" si="1"/>
        <v>47239</v>
      </c>
      <c r="C36" s="24">
        <f>IF(A36&lt;=Лист1!$D$6,D36+E36+F36,0)</f>
        <v>0</v>
      </c>
      <c r="D36" s="44">
        <f>IF(A36&lt;=Лист1!$D$6,IF(OR(Лист1!$D$17="Тариф 1",Лист1!$D$17="Тариф 2",Лист1!$D$17="Тариф 3"),IF(A36=Лист1!$D$6,G35,ROUND(Лист1!$D$5/Лист1!$D$6,2)),IF(A36=Лист1!$D$6,G35,ROUND(PMT(Лист1!$D$20/12,Лист1!$D$6,-Лист1!$D$5)-F36,2))),0)</f>
        <v>0</v>
      </c>
      <c r="E36" s="44">
        <f>IF(A36&lt;=Лист1!$D$6,IF(OR(Лист1!$D$17="Тариф 1",Лист1!$D$17="Тариф 2",Лист1!$D$17="Тариф 3"),ROUND(Лист1!$D$5*Лист1!$D$18,2),0),0)</f>
        <v>0</v>
      </c>
      <c r="F36" s="44">
        <f>IF(OR(Лист1!$D$17="Тариф 1",Лист1!$D$17="Тариф 2",Лист1!$D$17="Тариф 3"),0,IF(A36&lt;=Лист1!$D$6,ROUND(G35*Лист1!$D$20/365,2)*(B36-B35),0))</f>
        <v>0</v>
      </c>
      <c r="G36" s="45">
        <f>IF(A36&lt;=Лист1!$D$6,ROUND(G35-D36,2),0)</f>
        <v>0</v>
      </c>
      <c r="H36" s="2"/>
      <c r="I36" s="2"/>
    </row>
    <row r="37" spans="1:9" ht="14.25" customHeight="1" x14ac:dyDescent="0.3">
      <c r="A37" s="2">
        <v>35</v>
      </c>
      <c r="B37" s="21">
        <f t="shared" si="1"/>
        <v>47270</v>
      </c>
      <c r="C37" s="24">
        <f>IF(A37&lt;=Лист1!$D$6,D37+E37+F37,0)</f>
        <v>0</v>
      </c>
      <c r="D37" s="44">
        <f>IF(A37&lt;=Лист1!$D$6,IF(OR(Лист1!$D$17="Тариф 1",Лист1!$D$17="Тариф 2",Лист1!$D$17="Тариф 3"),IF(A37=Лист1!$D$6,G36,ROUND(Лист1!$D$5/Лист1!$D$6,2)),IF(A37=Лист1!$D$6,G36,ROUND(PMT(Лист1!$D$20/12,Лист1!$D$6,-Лист1!$D$5)-F37,2))),0)</f>
        <v>0</v>
      </c>
      <c r="E37" s="44">
        <f>IF(A37&lt;=Лист1!$D$6,IF(OR(Лист1!$D$17="Тариф 1",Лист1!$D$17="Тариф 2",Лист1!$D$17="Тариф 3"),ROUND(Лист1!$D$5*Лист1!$D$18,2),0),0)</f>
        <v>0</v>
      </c>
      <c r="F37" s="44">
        <f>IF(OR(Лист1!$D$17="Тариф 1",Лист1!$D$17="Тариф 2",Лист1!$D$17="Тариф 3"),0,IF(A37&lt;=Лист1!$D$6,ROUND(G36*Лист1!$D$20/365,2)*(B37-B36),0))</f>
        <v>0</v>
      </c>
      <c r="G37" s="45">
        <f>IF(A37&lt;=Лист1!$D$6,ROUND(G36-D37,2),0)</f>
        <v>0</v>
      </c>
      <c r="H37" s="2"/>
      <c r="I37" s="2"/>
    </row>
    <row r="38" spans="1:9" ht="14.25" customHeight="1" x14ac:dyDescent="0.3">
      <c r="A38" s="2">
        <v>36</v>
      </c>
      <c r="B38" s="21">
        <f t="shared" si="1"/>
        <v>47300</v>
      </c>
      <c r="C38" s="24">
        <f>IF(A38&lt;=Лист1!$D$6,D38+E38+F38,0)</f>
        <v>0</v>
      </c>
      <c r="D38" s="44">
        <f>IF(A38&lt;=Лист1!$D$6,IF(OR(Лист1!$D$17="Тариф 1",Лист1!$D$17="Тариф 2",Лист1!$D$17="Тариф 3"),IF(A38=Лист1!$D$6,G37,ROUND(Лист1!$D$5/Лист1!$D$6,2)),IF(A38=Лист1!$D$6,G37,ROUND(PMT(Лист1!$D$20/12,Лист1!$D$6,-Лист1!$D$5)-F38,2))),0)</f>
        <v>0</v>
      </c>
      <c r="E38" s="44">
        <f>IF(A38&lt;=Лист1!$D$6,IF(OR(Лист1!$D$17="Тариф 1",Лист1!$D$17="Тариф 2",Лист1!$D$17="Тариф 3"),ROUND(Лист1!$D$5*Лист1!$D$18,2),0),0)</f>
        <v>0</v>
      </c>
      <c r="F38" s="44">
        <f>IF(OR(Лист1!$D$17="Тариф 1",Лист1!$D$17="Тариф 2",Лист1!$D$17="Тариф 3"),0,IF(A38&lt;=Лист1!$D$6,ROUND(G37*Лист1!$D$20/365,2)*(B38-B37),0))</f>
        <v>0</v>
      </c>
      <c r="G38" s="45">
        <f>IF(A38&lt;=Лист1!$D$6,ROUND(G37-D38,2),0)</f>
        <v>0</v>
      </c>
      <c r="H38" s="2"/>
      <c r="I38" s="2"/>
    </row>
    <row r="39" spans="1:9" ht="14.25" customHeight="1" x14ac:dyDescent="0.3">
      <c r="B39" s="2" t="s">
        <v>36</v>
      </c>
      <c r="C39" s="25">
        <f t="shared" ref="C39:F39" si="2">SUM(C3:C38)</f>
        <v>11493.66</v>
      </c>
      <c r="D39" s="46">
        <f t="shared" si="2"/>
        <v>10000</v>
      </c>
      <c r="E39" s="46">
        <f t="shared" si="2"/>
        <v>0</v>
      </c>
      <c r="F39" s="47">
        <f t="shared" si="2"/>
        <v>1493.6599999999999</v>
      </c>
      <c r="G39" s="45">
        <v>0</v>
      </c>
      <c r="H39" s="2"/>
      <c r="I39" s="2"/>
    </row>
    <row r="40" spans="1:9" ht="14.25" customHeight="1" x14ac:dyDescent="0.3">
      <c r="B40" s="2" t="s">
        <v>37</v>
      </c>
      <c r="C40" s="26">
        <f>Лист1!D21</f>
        <v>0.61635069335937498</v>
      </c>
      <c r="D40" s="27"/>
      <c r="E40" s="27"/>
      <c r="F40" s="27"/>
      <c r="G40" s="23"/>
      <c r="H40" s="2"/>
      <c r="I40" s="2"/>
    </row>
    <row r="41" spans="1:9" ht="14.25" customHeight="1" x14ac:dyDescent="0.3">
      <c r="B41" s="2"/>
      <c r="C41" s="2"/>
      <c r="D41" s="2"/>
      <c r="E41" s="2"/>
      <c r="F41" s="2"/>
      <c r="G41" s="2"/>
      <c r="H41" s="2"/>
      <c r="I41" s="2"/>
    </row>
    <row r="42" spans="1:9" ht="14.25" customHeight="1" x14ac:dyDescent="0.3">
      <c r="B42" s="2"/>
      <c r="C42" s="2"/>
      <c r="D42" s="2"/>
      <c r="E42" s="2"/>
      <c r="F42" s="2"/>
      <c r="G42" s="2"/>
      <c r="H42" s="2"/>
      <c r="I42" s="2"/>
    </row>
    <row r="43" spans="1:9" ht="14.25" customHeight="1" x14ac:dyDescent="0.3">
      <c r="B43" s="2"/>
      <c r="C43" s="2"/>
      <c r="D43" s="2"/>
      <c r="E43" s="2"/>
      <c r="F43" s="2"/>
      <c r="G43" s="2"/>
      <c r="H43" s="2"/>
      <c r="I43" s="2"/>
    </row>
    <row r="44" spans="1:9" ht="14.25" customHeight="1" x14ac:dyDescent="0.3">
      <c r="B44" s="2"/>
      <c r="C44" s="2" t="s">
        <v>44</v>
      </c>
      <c r="D44" s="2"/>
      <c r="E44" s="2"/>
      <c r="F44" s="2"/>
      <c r="G44" s="2"/>
      <c r="H44" s="2"/>
      <c r="I44" s="2"/>
    </row>
    <row r="45" spans="1:9" ht="14.25" customHeight="1" x14ac:dyDescent="0.3">
      <c r="B45" s="2"/>
      <c r="C45" s="2" t="s">
        <v>38</v>
      </c>
      <c r="D45" s="2"/>
      <c r="E45" s="2"/>
      <c r="F45" s="2"/>
      <c r="G45" s="2"/>
      <c r="H45" s="2"/>
      <c r="I45" s="2"/>
    </row>
    <row r="46" spans="1:9" ht="14.25" customHeight="1" x14ac:dyDescent="0.3">
      <c r="B46" s="2"/>
      <c r="C46" s="2"/>
      <c r="D46" s="2"/>
      <c r="E46" s="2"/>
      <c r="F46" s="2"/>
      <c r="G46" s="2"/>
      <c r="H46" s="2"/>
      <c r="I46" s="2"/>
    </row>
    <row r="47" spans="1:9" ht="14.25" customHeight="1" x14ac:dyDescent="0.3">
      <c r="B47" s="2"/>
      <c r="C47" s="2"/>
      <c r="D47" s="2"/>
      <c r="E47" s="2"/>
      <c r="F47" s="2"/>
      <c r="G47" s="2"/>
      <c r="H47" s="2"/>
      <c r="I47" s="2"/>
    </row>
    <row r="48" spans="1:9" ht="14.25" customHeight="1" x14ac:dyDescent="0.3">
      <c r="B48" s="2"/>
      <c r="C48" s="2"/>
      <c r="D48" s="2"/>
      <c r="E48" s="2"/>
      <c r="F48" s="2"/>
      <c r="G48" s="2"/>
      <c r="H48" s="2"/>
      <c r="I48" s="2"/>
    </row>
    <row r="49" spans="2:9" ht="14.25" customHeight="1" x14ac:dyDescent="0.3">
      <c r="B49" s="2"/>
      <c r="C49" s="2"/>
      <c r="D49" s="2"/>
      <c r="E49" s="2"/>
      <c r="F49" s="2"/>
      <c r="G49" s="2"/>
      <c r="H49" s="2"/>
      <c r="I49" s="2"/>
    </row>
    <row r="50" spans="2:9" ht="14.25" customHeight="1" x14ac:dyDescent="0.3">
      <c r="B50" s="2"/>
      <c r="C50" s="2"/>
      <c r="D50" s="2"/>
      <c r="E50" s="2"/>
      <c r="F50" s="2"/>
      <c r="G50" s="2"/>
      <c r="H50" s="2"/>
      <c r="I50" s="2"/>
    </row>
    <row r="51" spans="2:9" ht="14.25" customHeight="1" x14ac:dyDescent="0.3">
      <c r="B51" s="2"/>
      <c r="D51" s="2"/>
      <c r="E51" s="2"/>
      <c r="F51" s="2"/>
      <c r="G51" s="2"/>
      <c r="H51" s="2"/>
      <c r="I51" s="2"/>
    </row>
    <row r="52" spans="2:9" ht="14.25" customHeight="1" x14ac:dyDescent="0.3">
      <c r="B52" s="2"/>
      <c r="D52" s="2"/>
      <c r="E52" s="2"/>
      <c r="F52" s="2"/>
      <c r="G52" s="2"/>
      <c r="H52" s="2"/>
      <c r="I52" s="2"/>
    </row>
    <row r="53" spans="2:9" ht="14.25" customHeight="1" x14ac:dyDescent="0.3">
      <c r="B53" s="2"/>
      <c r="C53" s="2"/>
      <c r="D53" s="2"/>
      <c r="E53" s="2"/>
      <c r="F53" s="2"/>
      <c r="G53" s="2"/>
      <c r="H53" s="28"/>
      <c r="I53" s="2"/>
    </row>
    <row r="54" spans="2:9" ht="14.25" customHeight="1" x14ac:dyDescent="0.3">
      <c r="B54" s="2"/>
      <c r="C54" s="2"/>
      <c r="D54" s="2"/>
      <c r="E54" s="2"/>
      <c r="F54" s="2"/>
      <c r="G54" s="2"/>
      <c r="H54" s="2"/>
      <c r="I54" s="2"/>
    </row>
    <row r="55" spans="2:9" ht="14.25" customHeight="1" x14ac:dyDescent="0.3">
      <c r="B55" s="2"/>
      <c r="C55" s="2"/>
      <c r="D55" s="2"/>
      <c r="E55" s="2"/>
      <c r="F55" s="2"/>
      <c r="G55" s="2"/>
      <c r="H55" s="2"/>
      <c r="I55" s="2"/>
    </row>
    <row r="56" spans="2:9" ht="14.25" customHeight="1" x14ac:dyDescent="0.3">
      <c r="B56" s="2"/>
      <c r="C56" s="2"/>
      <c r="D56" s="2"/>
      <c r="E56" s="2"/>
      <c r="F56" s="2"/>
      <c r="G56" s="2"/>
      <c r="H56" s="2"/>
      <c r="I56" s="2"/>
    </row>
    <row r="57" spans="2:9" ht="14.25" customHeight="1" x14ac:dyDescent="0.3">
      <c r="B57" s="2"/>
      <c r="C57" s="2"/>
      <c r="D57" s="2"/>
      <c r="E57" s="2"/>
      <c r="F57" s="2"/>
      <c r="G57" s="2"/>
      <c r="H57" s="2"/>
      <c r="I57" s="2"/>
    </row>
    <row r="58" spans="2:9" ht="14.25" customHeight="1" x14ac:dyDescent="0.3">
      <c r="B58" s="2"/>
      <c r="C58" s="2"/>
      <c r="D58" s="2"/>
      <c r="E58" s="2"/>
      <c r="F58" s="2"/>
      <c r="G58" s="2"/>
      <c r="H58" s="2"/>
      <c r="I58" s="2"/>
    </row>
    <row r="59" spans="2:9" ht="14.25" customHeight="1" x14ac:dyDescent="0.3">
      <c r="B59" s="2"/>
      <c r="C59" s="2"/>
      <c r="D59" s="2"/>
      <c r="E59" s="2"/>
      <c r="F59" s="2"/>
      <c r="G59" s="2"/>
      <c r="H59" s="2"/>
      <c r="I59" s="2"/>
    </row>
    <row r="60" spans="2:9" ht="14.25" customHeight="1" x14ac:dyDescent="0.3">
      <c r="B60" s="2"/>
      <c r="C60" s="2"/>
      <c r="D60" s="2"/>
      <c r="E60" s="2"/>
      <c r="F60" s="2"/>
      <c r="G60" s="2"/>
      <c r="H60" s="2"/>
      <c r="I60" s="2"/>
    </row>
    <row r="61" spans="2:9" ht="14.25" customHeight="1" x14ac:dyDescent="0.3">
      <c r="B61" s="2"/>
      <c r="C61" s="2"/>
      <c r="D61" s="2"/>
      <c r="E61" s="2"/>
      <c r="F61" s="2"/>
      <c r="G61" s="2"/>
      <c r="H61" s="2"/>
      <c r="I61" s="2"/>
    </row>
    <row r="62" spans="2:9" ht="14.25" customHeight="1" x14ac:dyDescent="0.3">
      <c r="B62" s="2"/>
      <c r="C62" s="2"/>
      <c r="D62" s="2"/>
      <c r="E62" s="2"/>
      <c r="F62" s="2"/>
      <c r="G62" s="2"/>
      <c r="H62" s="2"/>
      <c r="I62" s="2"/>
    </row>
    <row r="63" spans="2:9" ht="14.25" customHeight="1" x14ac:dyDescent="0.3">
      <c r="B63" s="2"/>
      <c r="C63" s="2"/>
      <c r="D63" s="2"/>
      <c r="E63" s="2"/>
      <c r="F63" s="2"/>
      <c r="G63" s="2"/>
      <c r="H63" s="2"/>
      <c r="I63" s="2"/>
    </row>
    <row r="64" spans="2:9" ht="14.25" customHeight="1" x14ac:dyDescent="0.3">
      <c r="B64" s="2"/>
      <c r="C64" s="2"/>
      <c r="D64" s="2"/>
      <c r="E64" s="2"/>
      <c r="F64" s="2"/>
      <c r="G64" s="2"/>
      <c r="H64" s="2"/>
      <c r="I64" s="2"/>
    </row>
    <row r="65" spans="2:9" ht="14.25" customHeight="1" x14ac:dyDescent="0.3">
      <c r="B65" s="2"/>
      <c r="C65" s="2"/>
      <c r="D65" s="2"/>
      <c r="E65" s="2"/>
      <c r="F65" s="2"/>
      <c r="G65" s="2"/>
      <c r="H65" s="2"/>
      <c r="I65" s="2"/>
    </row>
    <row r="66" spans="2:9" ht="14.25" customHeight="1" x14ac:dyDescent="0.3">
      <c r="B66" s="2"/>
      <c r="C66" s="2"/>
      <c r="D66" s="2"/>
      <c r="E66" s="2"/>
      <c r="F66" s="2"/>
      <c r="G66" s="2"/>
      <c r="H66" s="2"/>
      <c r="I66" s="2"/>
    </row>
    <row r="67" spans="2:9" ht="14.25" customHeight="1" x14ac:dyDescent="0.3">
      <c r="B67" s="2"/>
      <c r="C67" s="2"/>
      <c r="D67" s="2"/>
      <c r="E67" s="2"/>
      <c r="F67" s="2"/>
      <c r="G67" s="2"/>
      <c r="H67" s="2"/>
      <c r="I67" s="2"/>
    </row>
    <row r="68" spans="2:9" ht="14.25" customHeight="1" x14ac:dyDescent="0.3"/>
    <row r="69" spans="2:9" ht="14.25" customHeight="1" x14ac:dyDescent="0.3"/>
    <row r="70" spans="2:9" ht="14.25" customHeight="1" x14ac:dyDescent="0.3"/>
    <row r="71" spans="2:9" ht="14.25" customHeight="1" x14ac:dyDescent="0.3"/>
    <row r="72" spans="2:9" ht="14.25" customHeight="1" x14ac:dyDescent="0.3"/>
    <row r="73" spans="2:9" ht="14.25" customHeight="1" x14ac:dyDescent="0.3"/>
    <row r="74" spans="2:9" ht="14.25" customHeight="1" x14ac:dyDescent="0.3"/>
    <row r="75" spans="2:9" ht="14.25" customHeight="1" x14ac:dyDescent="0.3"/>
    <row r="76" spans="2:9" ht="14.25" customHeight="1" x14ac:dyDescent="0.3"/>
    <row r="77" spans="2:9" ht="14.25" customHeight="1" x14ac:dyDescent="0.3"/>
    <row r="78" spans="2:9" ht="14.25" customHeight="1" x14ac:dyDescent="0.3"/>
    <row r="79" spans="2:9" ht="14.25" customHeight="1" x14ac:dyDescent="0.3"/>
    <row r="80" spans="2:9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Лист1</vt:lpstr>
      <vt:lpstr>платежі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Шевченко Юлія Вячеславівна</dc:creator>
  <cp:lastModifiedBy>Шевченко Юлія Вячеславівна</cp:lastModifiedBy>
  <dcterms:created xsi:type="dcterms:W3CDTF">2026-06-18T08:20:30Z</dcterms:created>
  <dcterms:modified xsi:type="dcterms:W3CDTF">2026-07-01T13:38:36Z</dcterms:modified>
</cp:coreProperties>
</file>